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2"/>
  </bookViews>
  <sheets>
    <sheet name="Water - Table 1 - Table 1" sheetId="1" r:id="rId1"/>
    <sheet name="Sewage - Table 1 - Table 1" sheetId="2" r:id="rId2"/>
    <sheet name="Energy - Table 1 - Table 1" sheetId="3" r:id="rId3"/>
    <sheet name="Calibrations - Table 1 - Table " sheetId="4" r:id="rId4"/>
    <sheet name="Graphs" sheetId="5" r:id="rId5"/>
  </sheets>
  <definedNames/>
  <calcPr fullCalcOnLoad="1"/>
</workbook>
</file>

<file path=xl/sharedStrings.xml><?xml version="1.0" encoding="utf-8"?>
<sst xmlns="http://schemas.openxmlformats.org/spreadsheetml/2006/main" count="193" uniqueCount="141">
  <si>
    <t>Fresh water fluxes</t>
  </si>
  <si>
    <t>Procedure:</t>
  </si>
  <si>
    <t>Water remaining calculator</t>
  </si>
  <si>
    <t>1) Fill in measured (blue) values</t>
  </si>
  <si>
    <t>Conversion factors:</t>
  </si>
  <si>
    <t>liters/gal</t>
  </si>
  <si>
    <t>Liters/cm</t>
  </si>
  <si>
    <t>Intercept</t>
  </si>
  <si>
    <t>Volume remaining</t>
  </si>
  <si>
    <t>Mean l/per/d</t>
  </si>
  <si>
    <t>Future # people</t>
  </si>
  <si>
    <t>Days remaining</t>
  </si>
  <si>
    <t>2) Calculate and enter the time period associated with Volume used</t>
  </si>
  <si>
    <t>3) Note computed values for sustainability report</t>
  </si>
  <si>
    <t>4) Update averages for the current week and graph trends</t>
  </si>
  <si>
    <t>Total tank V:</t>
  </si>
  <si>
    <t>Liters</t>
  </si>
  <si>
    <t>z</t>
  </si>
  <si>
    <t>Date</t>
  </si>
  <si>
    <t>Time recorded</t>
  </si>
  <si>
    <t>Depth</t>
  </si>
  <si>
    <t>Metric Volume</t>
  </si>
  <si>
    <t>American Volume</t>
  </si>
  <si>
    <t>Volume used</t>
  </si>
  <si>
    <t>Time period between readings</t>
  </si>
  <si>
    <t>Daily use rate</t>
  </si>
  <si>
    <t>Number of people</t>
  </si>
  <si>
    <t>Daily water use per person</t>
  </si>
  <si>
    <t xml:space="preserve">Daily per person use </t>
  </si>
  <si>
    <t>Notes</t>
  </si>
  <si>
    <t>(hr)</t>
  </si>
  <si>
    <t>(min)</t>
  </si>
  <si>
    <t>(cm)</t>
  </si>
  <si>
    <t>(liters)</t>
  </si>
  <si>
    <t>(gallons)</t>
  </si>
  <si>
    <t>(hrs)</t>
  </si>
  <si>
    <t>(l/d)</t>
  </si>
  <si>
    <t>(gal/d)</t>
  </si>
  <si>
    <t xml:space="preserve">(l/person/d) </t>
  </si>
  <si>
    <t>(gal/person/d)</t>
  </si>
  <si>
    <t>some water in tube</t>
  </si>
  <si>
    <t>Filled up on water today</t>
  </si>
  <si>
    <t>Andrea and Val on board</t>
  </si>
  <si>
    <t>NA</t>
  </si>
  <si>
    <t>Beth on board from last night</t>
  </si>
  <si>
    <t>Tim came for dinner tonight</t>
  </si>
  <si>
    <t>Val switched out with Robin</t>
  </si>
  <si>
    <t>Sewage fluxes</t>
  </si>
  <si>
    <t>Pump out depth</t>
  </si>
  <si>
    <t>cm</t>
  </si>
  <si>
    <t>Extra tank MAX volume</t>
  </si>
  <si>
    <t>L</t>
  </si>
  <si>
    <t>Main tank MAX volume</t>
  </si>
  <si>
    <t>intercept</t>
  </si>
  <si>
    <t>liters</t>
  </si>
  <si>
    <t>Conservative Volume</t>
  </si>
  <si>
    <t>5) Report to Captain Todd when Depth is 25 cm.</t>
  </si>
  <si>
    <t>Time</t>
  </si>
  <si>
    <t xml:space="preserve">Depth </t>
  </si>
  <si>
    <t>Volume in Holding Tank</t>
  </si>
  <si>
    <t>Total Volume remaining</t>
  </si>
  <si>
    <t>Time period</t>
  </si>
  <si>
    <t>Daily usage</t>
  </si>
  <si>
    <t>Days before Pump out</t>
  </si>
  <si>
    <t>Pumped out on 9/19/2011</t>
  </si>
  <si>
    <t>switched to back up sewage tank</t>
  </si>
  <si>
    <t>Pumping at Roche Harbor first thing this morning</t>
  </si>
  <si>
    <t>Pumped out at Roche Harbor at 11:30am</t>
  </si>
  <si>
    <t xml:space="preserve">Scott got off Gato </t>
  </si>
  <si>
    <t>Reading wrong yesterday??</t>
  </si>
  <si>
    <t>Sewage pumped into backup yesterday</t>
  </si>
  <si>
    <t>Pumped out at Roche Harbor at 13:00</t>
  </si>
  <si>
    <t>Andrea with us</t>
  </si>
  <si>
    <t>Beth on board, arrived late last night</t>
  </si>
  <si>
    <t>pumped into backup</t>
  </si>
  <si>
    <t>Pumped out at Roche Harbor at 9:30am</t>
  </si>
  <si>
    <t>Tim ate dinner with us</t>
  </si>
  <si>
    <t>pumped out!</t>
  </si>
  <si>
    <t>ENERGY:</t>
  </si>
  <si>
    <t>Max distance when full</t>
  </si>
  <si>
    <t>diesel tank full</t>
  </si>
  <si>
    <t>Total battery used 4/18-5/13 Lifetime Ahc=3112.8 Charge Ah= 2693.1</t>
  </si>
  <si>
    <t>Assumptions and conversion factors</t>
  </si>
  <si>
    <t>gal</t>
  </si>
  <si>
    <t>Voltage</t>
  </si>
  <si>
    <t>Volts</t>
  </si>
  <si>
    <t>Burn rate</t>
  </si>
  <si>
    <t>gal/hr</t>
  </si>
  <si>
    <t>max speed</t>
  </si>
  <si>
    <t>knots</t>
  </si>
  <si>
    <t>Total energy use</t>
  </si>
  <si>
    <t>Engine_hours</t>
  </si>
  <si>
    <r>
      <t>E</t>
    </r>
    <r>
      <rPr>
        <b/>
        <sz val="11"/>
        <color indexed="8"/>
        <rFont val="Helvetica Neue"/>
        <family val="0"/>
      </rPr>
      <t>ngine_minutes</t>
    </r>
  </si>
  <si>
    <t>Engine hours end</t>
  </si>
  <si>
    <t>Total Engine Hours</t>
  </si>
  <si>
    <t>gal start</t>
  </si>
  <si>
    <t>Engine run time</t>
  </si>
  <si>
    <t>Fuel Used</t>
  </si>
  <si>
    <t>Total Remaining</t>
  </si>
  <si>
    <t>Fuel Added</t>
  </si>
  <si>
    <t>Total Net Fuel (will only be different from total remaining if we add fuel!)</t>
  </si>
  <si>
    <t>Total remaining</t>
  </si>
  <si>
    <t>Re-zeroed Total remaining %</t>
  </si>
  <si>
    <t xml:space="preserve">Potential max distance </t>
  </si>
  <si>
    <t>Trip</t>
  </si>
  <si>
    <t>Charge</t>
  </si>
  <si>
    <t>hours</t>
  </si>
  <si>
    <t>mins</t>
  </si>
  <si>
    <t>start</t>
  </si>
  <si>
    <t>end</t>
  </si>
  <si>
    <t>(gal)</t>
  </si>
  <si>
    <t>(hours)</t>
  </si>
  <si>
    <t>(percentage)</t>
  </si>
  <si>
    <t>(nm)</t>
  </si>
  <si>
    <t>(Ah)</t>
  </si>
  <si>
    <t>HOLDING TANK CALIBRATION</t>
  </si>
  <si>
    <t>Total gal</t>
  </si>
  <si>
    <t>Gallons</t>
  </si>
  <si>
    <t>Pumps *</t>
  </si>
  <si>
    <t>Gal/pump</t>
  </si>
  <si>
    <t>L/pump</t>
  </si>
  <si>
    <t>Cm</t>
  </si>
  <si>
    <t>Total L</t>
  </si>
  <si>
    <t>mean</t>
  </si>
  <si>
    <t>* A “pump” is a full stroke up AND down</t>
  </si>
  <si>
    <t>Trend~</t>
  </si>
  <si>
    <t>l/cm</t>
  </si>
  <si>
    <t>Insight: Every pump is about 2/3 liter!</t>
  </si>
  <si>
    <t>gal/cm</t>
  </si>
  <si>
    <t xml:space="preserve">French flush (per directions) is about </t>
  </si>
  <si>
    <t>FRESHWATER TANK CALIBRATION</t>
  </si>
  <si>
    <t>Filled at Roche Harbor, time taken to fill 5 gallon = 35 seconds</t>
  </si>
  <si>
    <t xml:space="preserve">Notes: Non-linear at top of tank! Tank “empty” with 3cm remaining at bottom of tank. </t>
  </si>
  <si>
    <t>Note:  Height of tank in dip corner is 25 inches = 63.5cm, BUT level measured right after fill can be 79+cm...</t>
  </si>
  <si>
    <t># of Gallons</t>
  </si>
  <si>
    <t>Cm (on stick)</t>
  </si>
  <si>
    <t>Volume (L)</t>
  </si>
  <si>
    <t xml:space="preserve"> </t>
  </si>
  <si>
    <t>Slope</t>
  </si>
  <si>
    <t>~-65</t>
  </si>
  <si>
    <t>Total Fresh volume: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</si>
</sst>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0"/>
    <numFmt numFmtId="166" formatCode="0.0"/>
    <numFmt numFmtId="167" formatCode="0.000000"/>
    <numFmt numFmtId="168" formatCode="0"/>
    <numFmt numFmtId="169" formatCode="HH:MM"/>
    <numFmt numFmtId="170" formatCode="MM/DD/YY"/>
    <numFmt numFmtId="171" formatCode="0.00"/>
    <numFmt numFmtId="172" formatCode="M/D/YYYY"/>
    <numFmt numFmtId="173" formatCode="HH:MM:SS\ AM/PM"/>
  </numFmts>
  <fonts count="24">
    <font>
      <sz val="11"/>
      <color indexed="8"/>
      <name val="Helvetica Neu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Lucida Grande"/>
      <family val="0"/>
    </font>
    <font>
      <sz val="11"/>
      <color indexed="8"/>
      <name val="Lucida Grande"/>
      <family val="0"/>
    </font>
    <font>
      <b/>
      <sz val="11"/>
      <color indexed="18"/>
      <name val="Lucida Grande"/>
      <family val="0"/>
    </font>
    <font>
      <sz val="11"/>
      <color indexed="18"/>
      <name val="Lucida Grande"/>
      <family val="0"/>
    </font>
    <font>
      <b/>
      <sz val="11"/>
      <color indexed="8"/>
      <name val="Helvetica Neue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hair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22"/>
      </right>
      <top style="hair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hair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hair">
        <color indexed="8"/>
      </top>
      <bottom style="thin">
        <color indexed="22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22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>
        <color indexed="8"/>
      </left>
      <right style="thin">
        <color indexed="22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hair">
        <color indexed="8"/>
      </top>
      <bottom style="hair">
        <color indexed="8"/>
      </bottom>
    </border>
    <border>
      <left style="thin">
        <color indexed="22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</borders>
  <cellStyleXfs count="6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top"/>
    </xf>
    <xf numFmtId="164" fontId="2" fillId="3" borderId="0" applyNumberFormat="0" applyBorder="0" applyProtection="0">
      <alignment vertical="top"/>
    </xf>
    <xf numFmtId="164" fontId="2" fillId="4" borderId="0" applyNumberFormat="0" applyBorder="0" applyProtection="0">
      <alignment vertical="top"/>
    </xf>
    <xf numFmtId="164" fontId="2" fillId="2" borderId="0" applyNumberFormat="0" applyBorder="0" applyProtection="0">
      <alignment vertical="top"/>
    </xf>
    <xf numFmtId="164" fontId="2" fillId="5" borderId="0" applyNumberFormat="0" applyBorder="0" applyProtection="0">
      <alignment vertical="top"/>
    </xf>
    <xf numFmtId="164" fontId="2" fillId="3" borderId="0" applyNumberFormat="0" applyBorder="0" applyProtection="0">
      <alignment vertical="top"/>
    </xf>
    <xf numFmtId="164" fontId="2" fillId="6" borderId="0" applyNumberFormat="0" applyBorder="0" applyProtection="0">
      <alignment vertical="top"/>
    </xf>
    <xf numFmtId="164" fontId="2" fillId="7" borderId="0" applyNumberFormat="0" applyBorder="0" applyProtection="0">
      <alignment vertical="top"/>
    </xf>
    <xf numFmtId="164" fontId="2" fillId="8" borderId="0" applyNumberFormat="0" applyBorder="0" applyProtection="0">
      <alignment vertical="top"/>
    </xf>
    <xf numFmtId="164" fontId="2" fillId="6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3" borderId="0" applyNumberFormat="0" applyBorder="0" applyProtection="0">
      <alignment vertical="top"/>
    </xf>
    <xf numFmtId="164" fontId="3" fillId="10" borderId="0" applyNumberFormat="0" applyBorder="0" applyProtection="0">
      <alignment vertical="top"/>
    </xf>
    <xf numFmtId="164" fontId="3" fillId="7" borderId="0" applyNumberFormat="0" applyBorder="0" applyProtection="0">
      <alignment vertical="top"/>
    </xf>
    <xf numFmtId="164" fontId="3" fillId="8" borderId="0" applyNumberFormat="0" applyBorder="0" applyProtection="0">
      <alignment vertical="top"/>
    </xf>
    <xf numFmtId="164" fontId="3" fillId="11" borderId="0" applyNumberFormat="0" applyBorder="0" applyProtection="0">
      <alignment vertical="top"/>
    </xf>
    <xf numFmtId="164" fontId="3" fillId="10" borderId="0" applyNumberFormat="0" applyBorder="0" applyProtection="0">
      <alignment vertical="top"/>
    </xf>
    <xf numFmtId="164" fontId="3" fillId="3" borderId="0" applyNumberFormat="0" applyBorder="0" applyProtection="0">
      <alignment vertical="top"/>
    </xf>
    <xf numFmtId="164" fontId="3" fillId="10" borderId="0" applyNumberFormat="0" applyBorder="0" applyProtection="0">
      <alignment vertical="top"/>
    </xf>
    <xf numFmtId="164" fontId="3" fillId="12" borderId="0" applyNumberFormat="0" applyBorder="0" applyProtection="0">
      <alignment vertical="top"/>
    </xf>
    <xf numFmtId="164" fontId="3" fillId="13" borderId="0" applyNumberFormat="0" applyBorder="0" applyProtection="0">
      <alignment vertical="top"/>
    </xf>
    <xf numFmtId="164" fontId="3" fillId="14" borderId="0" applyNumberFormat="0" applyBorder="0" applyProtection="0">
      <alignment vertical="top"/>
    </xf>
    <xf numFmtId="164" fontId="3" fillId="10" borderId="0" applyNumberFormat="0" applyBorder="0" applyProtection="0">
      <alignment vertical="top"/>
    </xf>
    <xf numFmtId="164" fontId="3" fillId="15" borderId="0" applyNumberFormat="0" applyBorder="0" applyProtection="0">
      <alignment vertical="top"/>
    </xf>
    <xf numFmtId="164" fontId="4" fillId="16" borderId="0" applyNumberFormat="0" applyBorder="0" applyProtection="0">
      <alignment vertical="top"/>
    </xf>
    <xf numFmtId="164" fontId="5" fillId="2" borderId="1" applyNumberFormat="0" applyProtection="0">
      <alignment vertical="top"/>
    </xf>
    <xf numFmtId="164" fontId="6" fillId="17" borderId="2" applyNumberFormat="0" applyProtection="0">
      <alignment vertical="top"/>
    </xf>
    <xf numFmtId="164" fontId="7" fillId="0" borderId="0" applyNumberFormat="0" applyFill="0" applyBorder="0" applyProtection="0">
      <alignment vertical="top"/>
    </xf>
    <xf numFmtId="164" fontId="8" fillId="18" borderId="0" applyNumberFormat="0" applyBorder="0" applyProtection="0">
      <alignment vertical="top"/>
    </xf>
    <xf numFmtId="164" fontId="9" fillId="0" borderId="3" applyNumberFormat="0" applyFill="0" applyProtection="0">
      <alignment vertical="top"/>
    </xf>
    <xf numFmtId="164" fontId="10" fillId="0" borderId="4" applyNumberFormat="0" applyFill="0" applyProtection="0">
      <alignment vertical="top"/>
    </xf>
    <xf numFmtId="164" fontId="11" fillId="0" borderId="5" applyNumberFormat="0" applyFill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3" borderId="1" applyNumberFormat="0" applyProtection="0">
      <alignment vertical="top"/>
    </xf>
    <xf numFmtId="164" fontId="13" fillId="0" borderId="6" applyNumberFormat="0" applyFill="0" applyProtection="0">
      <alignment vertical="top"/>
    </xf>
    <xf numFmtId="164" fontId="14" fillId="8" borderId="0" applyNumberFormat="0" applyBorder="0" applyProtection="0">
      <alignment vertical="top"/>
    </xf>
    <xf numFmtId="164" fontId="0" fillId="4" borderId="7" applyNumberFormat="0" applyProtection="0">
      <alignment vertical="top"/>
    </xf>
    <xf numFmtId="164" fontId="15" fillId="2" borderId="8" applyNumberFormat="0" applyProtection="0">
      <alignment vertical="top"/>
    </xf>
    <xf numFmtId="164" fontId="16" fillId="0" borderId="0" applyNumberFormat="0" applyFill="0" applyBorder="0" applyProtection="0">
      <alignment vertical="top"/>
    </xf>
    <xf numFmtId="164" fontId="17" fillId="0" borderId="9" applyNumberFormat="0" applyFill="0" applyProtection="0">
      <alignment vertical="top"/>
    </xf>
    <xf numFmtId="164" fontId="18" fillId="0" borderId="0" applyNumberFormat="0" applyFill="0" applyBorder="0" applyProtection="0">
      <alignment vertical="top"/>
    </xf>
  </cellStyleXfs>
  <cellXfs count="144">
    <xf numFmtId="164" fontId="0" fillId="0" borderId="0" xfId="0" applyAlignment="1">
      <alignment vertical="top"/>
    </xf>
    <xf numFmtId="164" fontId="0" fillId="0" borderId="0" xfId="0" applyNumberFormat="1" applyFont="1" applyAlignment="1">
      <alignment vertical="top"/>
    </xf>
    <xf numFmtId="164" fontId="19" fillId="19" borderId="10" xfId="0" applyNumberFormat="1" applyFont="1" applyFill="1" applyBorder="1" applyAlignment="1">
      <alignment/>
    </xf>
    <xf numFmtId="164" fontId="19" fillId="19" borderId="11" xfId="0" applyNumberFormat="1" applyFont="1" applyFill="1" applyBorder="1" applyAlignment="1">
      <alignment/>
    </xf>
    <xf numFmtId="164" fontId="20" fillId="19" borderId="11" xfId="0" applyNumberFormat="1" applyFont="1" applyFill="1" applyBorder="1" applyAlignment="1">
      <alignment wrapText="1"/>
    </xf>
    <xf numFmtId="164" fontId="20" fillId="2" borderId="12" xfId="0" applyNumberFormat="1" applyFont="1" applyFill="1" applyBorder="1" applyAlignment="1">
      <alignment/>
    </xf>
    <xf numFmtId="164" fontId="20" fillId="2" borderId="13" xfId="0" applyNumberFormat="1" applyFont="1" applyFill="1" applyBorder="1" applyAlignment="1">
      <alignment/>
    </xf>
    <xf numFmtId="164" fontId="20" fillId="2" borderId="14" xfId="0" applyNumberFormat="1" applyFont="1" applyFill="1" applyBorder="1" applyAlignment="1">
      <alignment/>
    </xf>
    <xf numFmtId="164" fontId="20" fillId="19" borderId="15" xfId="0" applyNumberFormat="1" applyFont="1" applyFill="1" applyBorder="1" applyAlignment="1">
      <alignment/>
    </xf>
    <xf numFmtId="164" fontId="20" fillId="2" borderId="16" xfId="0" applyNumberFormat="1" applyFont="1" applyFill="1" applyBorder="1" applyAlignment="1">
      <alignment/>
    </xf>
    <xf numFmtId="164" fontId="20" fillId="20" borderId="11" xfId="0" applyNumberFormat="1" applyFont="1" applyFill="1" applyBorder="1" applyAlignment="1">
      <alignment/>
    </xf>
    <xf numFmtId="164" fontId="20" fillId="20" borderId="17" xfId="0" applyNumberFormat="1" applyFont="1" applyFill="1" applyBorder="1" applyAlignment="1">
      <alignment/>
    </xf>
    <xf numFmtId="164" fontId="20" fillId="19" borderId="18" xfId="0" applyNumberFormat="1" applyFont="1" applyFill="1" applyBorder="1" applyAlignment="1">
      <alignment/>
    </xf>
    <xf numFmtId="164" fontId="20" fillId="19" borderId="19" xfId="0" applyNumberFormat="1" applyFont="1" applyFill="1" applyBorder="1" applyAlignment="1">
      <alignment/>
    </xf>
    <xf numFmtId="164" fontId="19" fillId="19" borderId="19" xfId="0" applyNumberFormat="1" applyFont="1" applyFill="1" applyBorder="1" applyAlignment="1">
      <alignment wrapText="1"/>
    </xf>
    <xf numFmtId="164" fontId="20" fillId="2" borderId="20" xfId="0" applyNumberFormat="1" applyFont="1" applyFill="1" applyBorder="1" applyAlignment="1">
      <alignment/>
    </xf>
    <xf numFmtId="164" fontId="19" fillId="2" borderId="21" xfId="0" applyNumberFormat="1" applyFont="1" applyFill="1" applyBorder="1" applyAlignment="1">
      <alignment horizontal="left"/>
    </xf>
    <xf numFmtId="164" fontId="20" fillId="2" borderId="22" xfId="0" applyNumberFormat="1" applyFont="1" applyFill="1" applyBorder="1" applyAlignment="1">
      <alignment/>
    </xf>
    <xf numFmtId="164" fontId="20" fillId="2" borderId="23" xfId="0" applyNumberFormat="1" applyFont="1" applyFill="1" applyBorder="1" applyAlignment="1">
      <alignment/>
    </xf>
    <xf numFmtId="164" fontId="20" fillId="19" borderId="24" xfId="0" applyNumberFormat="1" applyFont="1" applyFill="1" applyBorder="1" applyAlignment="1">
      <alignment/>
    </xf>
    <xf numFmtId="164" fontId="20" fillId="2" borderId="25" xfId="0" applyNumberFormat="1" applyFont="1" applyFill="1" applyBorder="1" applyAlignment="1">
      <alignment/>
    </xf>
    <xf numFmtId="164" fontId="20" fillId="19" borderId="0" xfId="0" applyNumberFormat="1" applyFont="1" applyFill="1" applyBorder="1" applyAlignment="1">
      <alignment/>
    </xf>
    <xf numFmtId="164" fontId="20" fillId="20" borderId="0" xfId="0" applyNumberFormat="1" applyFont="1" applyFill="1" applyBorder="1" applyAlignment="1">
      <alignment/>
    </xf>
    <xf numFmtId="164" fontId="20" fillId="20" borderId="26" xfId="0" applyNumberFormat="1" applyFont="1" applyFill="1" applyBorder="1" applyAlignment="1">
      <alignment/>
    </xf>
    <xf numFmtId="164" fontId="19" fillId="19" borderId="27" xfId="0" applyNumberFormat="1" applyFont="1" applyFill="1" applyBorder="1" applyAlignment="1">
      <alignment wrapText="1"/>
    </xf>
    <xf numFmtId="164" fontId="20" fillId="19" borderId="28" xfId="0" applyNumberFormat="1" applyFont="1" applyFill="1" applyBorder="1" applyAlignment="1">
      <alignment horizontal="center"/>
    </xf>
    <xf numFmtId="164" fontId="20" fillId="19" borderId="24" xfId="0" applyNumberFormat="1" applyFont="1" applyFill="1" applyBorder="1" applyAlignment="1">
      <alignment horizontal="center"/>
    </xf>
    <xf numFmtId="164" fontId="20" fillId="2" borderId="29" xfId="0" applyNumberFormat="1" applyFont="1" applyFill="1" applyBorder="1" applyAlignment="1">
      <alignment/>
    </xf>
    <xf numFmtId="164" fontId="20" fillId="2" borderId="30" xfId="0" applyNumberFormat="1" applyFont="1" applyFill="1" applyBorder="1" applyAlignment="1">
      <alignment horizontal="center" wrapText="1"/>
    </xf>
    <xf numFmtId="164" fontId="20" fillId="2" borderId="7" xfId="0" applyNumberFormat="1" applyFont="1" applyFill="1" applyBorder="1" applyAlignment="1">
      <alignment horizontal="center" wrapText="1"/>
    </xf>
    <xf numFmtId="164" fontId="20" fillId="2" borderId="10" xfId="0" applyNumberFormat="1" applyFont="1" applyFill="1" applyBorder="1" applyAlignment="1">
      <alignment horizontal="center" wrapText="1"/>
    </xf>
    <xf numFmtId="164" fontId="20" fillId="19" borderId="31" xfId="0" applyNumberFormat="1" applyFont="1" applyFill="1" applyBorder="1" applyAlignment="1">
      <alignment horizontal="center" wrapText="1"/>
    </xf>
    <xf numFmtId="164" fontId="20" fillId="2" borderId="16" xfId="0" applyNumberFormat="1" applyFont="1" applyFill="1" applyBorder="1" applyAlignment="1">
      <alignment horizontal="right"/>
    </xf>
    <xf numFmtId="164" fontId="20" fillId="19" borderId="32" xfId="0" applyNumberFormat="1" applyFont="1" applyFill="1" applyBorder="1" applyAlignment="1">
      <alignment/>
    </xf>
    <xf numFmtId="165" fontId="20" fillId="19" borderId="19" xfId="0" applyNumberFormat="1" applyFont="1" applyFill="1" applyBorder="1" applyAlignment="1">
      <alignment horizontal="center"/>
    </xf>
    <xf numFmtId="164" fontId="20" fillId="19" borderId="19" xfId="0" applyNumberFormat="1" applyFont="1" applyFill="1" applyBorder="1" applyAlignment="1">
      <alignment horizontal="center"/>
    </xf>
    <xf numFmtId="164" fontId="20" fillId="19" borderId="33" xfId="0" applyNumberFormat="1" applyFont="1" applyFill="1" applyBorder="1" applyAlignment="1">
      <alignment/>
    </xf>
    <xf numFmtId="166" fontId="20" fillId="19" borderId="32" xfId="0" applyNumberFormat="1" applyFont="1" applyFill="1" applyBorder="1" applyAlignment="1">
      <alignment/>
    </xf>
    <xf numFmtId="166" fontId="20" fillId="2" borderId="15" xfId="0" applyNumberFormat="1" applyFont="1" applyFill="1" applyBorder="1" applyAlignment="1">
      <alignment/>
    </xf>
    <xf numFmtId="167" fontId="20" fillId="19" borderId="33" xfId="0" applyNumberFormat="1" applyFont="1" applyFill="1" applyBorder="1" applyAlignment="1">
      <alignment/>
    </xf>
    <xf numFmtId="164" fontId="20" fillId="19" borderId="34" xfId="0" applyNumberFormat="1" applyFont="1" applyFill="1" applyBorder="1" applyAlignment="1">
      <alignment/>
    </xf>
    <xf numFmtId="168" fontId="20" fillId="19" borderId="28" xfId="0" applyNumberFormat="1" applyFont="1" applyFill="1" applyBorder="1" applyAlignment="1">
      <alignment/>
    </xf>
    <xf numFmtId="164" fontId="20" fillId="19" borderId="28" xfId="0" applyNumberFormat="1" applyFont="1" applyFill="1" applyBorder="1" applyAlignment="1">
      <alignment/>
    </xf>
    <xf numFmtId="164" fontId="20" fillId="2" borderId="12" xfId="0" applyNumberFormat="1" applyFont="1" applyFill="1" applyBorder="1" applyAlignment="1">
      <alignment horizontal="center"/>
    </xf>
    <xf numFmtId="164" fontId="20" fillId="2" borderId="22" xfId="0" applyNumberFormat="1" applyFont="1" applyFill="1" applyBorder="1" applyAlignment="1">
      <alignment horizontal="center"/>
    </xf>
    <xf numFmtId="164" fontId="20" fillId="19" borderId="35" xfId="0" applyNumberFormat="1" applyFont="1" applyFill="1" applyBorder="1" applyAlignment="1">
      <alignment/>
    </xf>
    <xf numFmtId="168" fontId="20" fillId="19" borderId="0" xfId="0" applyNumberFormat="1" applyFont="1" applyFill="1" applyBorder="1" applyAlignment="1">
      <alignment/>
    </xf>
    <xf numFmtId="164" fontId="20" fillId="2" borderId="7" xfId="0" applyNumberFormat="1" applyFont="1" applyFill="1" applyBorder="1" applyAlignment="1">
      <alignment/>
    </xf>
    <xf numFmtId="164" fontId="20" fillId="2" borderId="36" xfId="0" applyNumberFormat="1" applyFont="1" applyFill="1" applyBorder="1" applyAlignment="1">
      <alignment/>
    </xf>
    <xf numFmtId="164" fontId="20" fillId="2" borderId="37" xfId="0" applyNumberFormat="1" applyFont="1" applyFill="1" applyBorder="1" applyAlignment="1">
      <alignment/>
    </xf>
    <xf numFmtId="164" fontId="19" fillId="19" borderId="35" xfId="0" applyNumberFormat="1" applyFont="1" applyFill="1" applyBorder="1" applyAlignment="1">
      <alignment horizontal="center"/>
    </xf>
    <xf numFmtId="164" fontId="19" fillId="19" borderId="0" xfId="0" applyNumberFormat="1" applyFont="1" applyFill="1" applyBorder="1" applyAlignment="1">
      <alignment horizontal="center"/>
    </xf>
    <xf numFmtId="164" fontId="21" fillId="19" borderId="0" xfId="0" applyNumberFormat="1" applyFont="1" applyFill="1" applyBorder="1" applyAlignment="1">
      <alignment horizontal="center"/>
    </xf>
    <xf numFmtId="164" fontId="19" fillId="2" borderId="12" xfId="0" applyNumberFormat="1" applyFont="1" applyFill="1" applyBorder="1" applyAlignment="1">
      <alignment horizontal="center" wrapText="1"/>
    </xf>
    <xf numFmtId="164" fontId="19" fillId="2" borderId="7" xfId="0" applyNumberFormat="1" applyFont="1" applyFill="1" applyBorder="1" applyAlignment="1">
      <alignment horizontal="center" wrapText="1"/>
    </xf>
    <xf numFmtId="164" fontId="19" fillId="2" borderId="16" xfId="0" applyNumberFormat="1" applyFont="1" applyFill="1" applyBorder="1" applyAlignment="1">
      <alignment horizontal="center" wrapText="1"/>
    </xf>
    <xf numFmtId="164" fontId="21" fillId="19" borderId="0" xfId="0" applyNumberFormat="1" applyFont="1" applyFill="1" applyBorder="1" applyAlignment="1">
      <alignment horizontal="center" wrapText="1"/>
    </xf>
    <xf numFmtId="164" fontId="19" fillId="2" borderId="7" xfId="0" applyNumberFormat="1" applyFont="1" applyFill="1" applyBorder="1" applyAlignment="1">
      <alignment horizontal="center"/>
    </xf>
    <xf numFmtId="169" fontId="19" fillId="19" borderId="0" xfId="0" applyNumberFormat="1" applyFont="1" applyFill="1" applyBorder="1" applyAlignment="1">
      <alignment horizontal="center"/>
    </xf>
    <xf numFmtId="164" fontId="19" fillId="2" borderId="12" xfId="0" applyNumberFormat="1" applyFont="1" applyFill="1" applyBorder="1" applyAlignment="1">
      <alignment horizontal="center"/>
    </xf>
    <xf numFmtId="164" fontId="19" fillId="2" borderId="16" xfId="0" applyNumberFormat="1" applyFont="1" applyFill="1" applyBorder="1" applyAlignment="1">
      <alignment horizontal="center"/>
    </xf>
    <xf numFmtId="170" fontId="20" fillId="19" borderId="35" xfId="0" applyNumberFormat="1" applyFont="1" applyFill="1" applyBorder="1" applyAlignment="1">
      <alignment horizontal="right"/>
    </xf>
    <xf numFmtId="164" fontId="20" fillId="19" borderId="0" xfId="0" applyNumberFormat="1" applyFont="1" applyFill="1" applyBorder="1" applyAlignment="1">
      <alignment horizontal="right"/>
    </xf>
    <xf numFmtId="164" fontId="22" fillId="19" borderId="0" xfId="0" applyNumberFormat="1" applyFont="1" applyFill="1" applyBorder="1" applyAlignment="1">
      <alignment horizontal="right"/>
    </xf>
    <xf numFmtId="164" fontId="20" fillId="2" borderId="12" xfId="0" applyNumberFormat="1" applyFont="1" applyFill="1" applyBorder="1" applyAlignment="1">
      <alignment horizontal="right"/>
    </xf>
    <xf numFmtId="164" fontId="20" fillId="2" borderId="7" xfId="0" applyNumberFormat="1" applyFont="1" applyFill="1" applyBorder="1" applyAlignment="1">
      <alignment horizontal="right"/>
    </xf>
    <xf numFmtId="164" fontId="19" fillId="2" borderId="7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 vertical="top"/>
    </xf>
    <xf numFmtId="170" fontId="20" fillId="19" borderId="35" xfId="0" applyNumberFormat="1" applyFont="1" applyFill="1" applyBorder="1" applyAlignment="1">
      <alignment/>
    </xf>
    <xf numFmtId="164" fontId="22" fillId="19" borderId="0" xfId="0" applyNumberFormat="1" applyFont="1" applyFill="1" applyBorder="1" applyAlignment="1">
      <alignment/>
    </xf>
    <xf numFmtId="166" fontId="20" fillId="2" borderId="12" xfId="0" applyNumberFormat="1" applyFont="1" applyFill="1" applyBorder="1" applyAlignment="1">
      <alignment/>
    </xf>
    <xf numFmtId="166" fontId="20" fillId="2" borderId="7" xfId="0" applyNumberFormat="1" applyFont="1" applyFill="1" applyBorder="1" applyAlignment="1">
      <alignment/>
    </xf>
    <xf numFmtId="171" fontId="22" fillId="19" borderId="0" xfId="0" applyNumberFormat="1" applyFont="1" applyFill="1" applyBorder="1" applyAlignment="1">
      <alignment horizontal="right"/>
    </xf>
    <xf numFmtId="166" fontId="20" fillId="2" borderId="16" xfId="0" applyNumberFormat="1" applyFont="1" applyFill="1" applyBorder="1" applyAlignment="1">
      <alignment/>
    </xf>
    <xf numFmtId="171" fontId="22" fillId="19" borderId="0" xfId="0" applyNumberFormat="1" applyFont="1" applyFill="1" applyBorder="1" applyAlignment="1">
      <alignment/>
    </xf>
    <xf numFmtId="170" fontId="20" fillId="11" borderId="35" xfId="0" applyNumberFormat="1" applyFont="1" applyFill="1" applyBorder="1" applyAlignment="1">
      <alignment/>
    </xf>
    <xf numFmtId="164" fontId="20" fillId="11" borderId="0" xfId="0" applyNumberFormat="1" applyFont="1" applyFill="1" applyBorder="1" applyAlignment="1">
      <alignment/>
    </xf>
    <xf numFmtId="166" fontId="20" fillId="11" borderId="12" xfId="0" applyNumberFormat="1" applyFont="1" applyFill="1" applyBorder="1" applyAlignment="1">
      <alignment/>
    </xf>
    <xf numFmtId="166" fontId="20" fillId="11" borderId="7" xfId="0" applyNumberFormat="1" applyFont="1" applyFill="1" applyBorder="1" applyAlignment="1">
      <alignment/>
    </xf>
    <xf numFmtId="166" fontId="20" fillId="11" borderId="16" xfId="0" applyNumberFormat="1" applyFont="1" applyFill="1" applyBorder="1" applyAlignment="1">
      <alignment/>
    </xf>
    <xf numFmtId="164" fontId="20" fillId="11" borderId="7" xfId="0" applyNumberFormat="1" applyFont="1" applyFill="1" applyBorder="1" applyAlignment="1">
      <alignment/>
    </xf>
    <xf numFmtId="164" fontId="0" fillId="11" borderId="0" xfId="0" applyNumberFormat="1" applyFont="1" applyFill="1" applyAlignment="1">
      <alignment vertical="top"/>
    </xf>
    <xf numFmtId="171" fontId="20" fillId="2" borderId="12" xfId="0" applyNumberFormat="1" applyFont="1" applyFill="1" applyBorder="1" applyAlignment="1">
      <alignment/>
    </xf>
    <xf numFmtId="164" fontId="20" fillId="19" borderId="38" xfId="0" applyNumberFormat="1" applyFont="1" applyFill="1" applyBorder="1" applyAlignment="1">
      <alignment/>
    </xf>
    <xf numFmtId="164" fontId="20" fillId="19" borderId="39" xfId="0" applyNumberFormat="1" applyFont="1" applyFill="1" applyBorder="1" applyAlignment="1">
      <alignment/>
    </xf>
    <xf numFmtId="164" fontId="19" fillId="2" borderId="7" xfId="0" applyNumberFormat="1" applyFont="1" applyFill="1" applyBorder="1" applyAlignment="1">
      <alignment/>
    </xf>
    <xf numFmtId="164" fontId="20" fillId="2" borderId="7" xfId="0" applyNumberFormat="1" applyFont="1" applyFill="1" applyBorder="1" applyAlignment="1">
      <alignment wrapText="1"/>
    </xf>
    <xf numFmtId="164" fontId="19" fillId="20" borderId="11" xfId="0" applyNumberFormat="1" applyFont="1" applyFill="1" applyBorder="1" applyAlignment="1">
      <alignment/>
    </xf>
    <xf numFmtId="164" fontId="19" fillId="2" borderId="13" xfId="0" applyNumberFormat="1" applyFont="1" applyFill="1" applyBorder="1" applyAlignment="1">
      <alignment wrapText="1"/>
    </xf>
    <xf numFmtId="164" fontId="20" fillId="2" borderId="40" xfId="0" applyNumberFormat="1" applyFont="1" applyFill="1" applyBorder="1" applyAlignment="1">
      <alignment/>
    </xf>
    <xf numFmtId="164" fontId="19" fillId="2" borderId="21" xfId="0" applyNumberFormat="1" applyFont="1" applyFill="1" applyBorder="1" applyAlignment="1">
      <alignment wrapText="1"/>
    </xf>
    <xf numFmtId="164" fontId="20" fillId="2" borderId="41" xfId="0" applyNumberFormat="1" applyFont="1" applyFill="1" applyBorder="1" applyAlignment="1">
      <alignment horizontal="center"/>
    </xf>
    <xf numFmtId="164" fontId="20" fillId="2" borderId="34" xfId="0" applyNumberFormat="1" applyFont="1" applyFill="1" applyBorder="1" applyAlignment="1">
      <alignment horizontal="center"/>
    </xf>
    <xf numFmtId="164" fontId="20" fillId="2" borderId="42" xfId="0" applyNumberFormat="1" applyFont="1" applyFill="1" applyBorder="1" applyAlignment="1">
      <alignment/>
    </xf>
    <xf numFmtId="164" fontId="20" fillId="2" borderId="43" xfId="0" applyNumberFormat="1" applyFont="1" applyFill="1" applyBorder="1" applyAlignment="1">
      <alignment/>
    </xf>
    <xf numFmtId="164" fontId="20" fillId="2" borderId="44" xfId="0" applyNumberFormat="1" applyFont="1" applyFill="1" applyBorder="1" applyAlignment="1">
      <alignment/>
    </xf>
    <xf numFmtId="164" fontId="20" fillId="2" borderId="45" xfId="0" applyNumberFormat="1" applyFont="1" applyFill="1" applyBorder="1" applyAlignment="1">
      <alignment horizontal="center"/>
    </xf>
    <xf numFmtId="164" fontId="20" fillId="2" borderId="46" xfId="0" applyNumberFormat="1" applyFont="1" applyFill="1" applyBorder="1" applyAlignment="1">
      <alignment horizontal="center"/>
    </xf>
    <xf numFmtId="164" fontId="19" fillId="2" borderId="41" xfId="0" applyNumberFormat="1" applyFont="1" applyFill="1" applyBorder="1" applyAlignment="1">
      <alignment/>
    </xf>
    <xf numFmtId="164" fontId="19" fillId="2" borderId="43" xfId="0" applyNumberFormat="1" applyFont="1" applyFill="1" applyBorder="1" applyAlignment="1">
      <alignment horizontal="center"/>
    </xf>
    <xf numFmtId="164" fontId="19" fillId="2" borderId="47" xfId="0" applyNumberFormat="1" applyFont="1" applyFill="1" applyBorder="1" applyAlignment="1">
      <alignment horizontal="center"/>
    </xf>
    <xf numFmtId="164" fontId="19" fillId="2" borderId="10" xfId="0" applyNumberFormat="1" applyFont="1" applyFill="1" applyBorder="1" applyAlignment="1">
      <alignment horizontal="center"/>
    </xf>
    <xf numFmtId="164" fontId="19" fillId="21" borderId="7" xfId="0" applyNumberFormat="1" applyFont="1" applyFill="1" applyBorder="1" applyAlignment="1">
      <alignment horizontal="center" wrapText="1"/>
    </xf>
    <xf numFmtId="164" fontId="21" fillId="2" borderId="47" xfId="0" applyNumberFormat="1" applyFont="1" applyFill="1" applyBorder="1" applyAlignment="1">
      <alignment horizontal="center" wrapText="1"/>
    </xf>
    <xf numFmtId="164" fontId="19" fillId="2" borderId="37" xfId="0" applyNumberFormat="1" applyFont="1" applyFill="1" applyBorder="1" applyAlignment="1">
      <alignment horizontal="center" wrapText="1"/>
    </xf>
    <xf numFmtId="164" fontId="19" fillId="2" borderId="38" xfId="0" applyNumberFormat="1" applyFont="1" applyFill="1" applyBorder="1" applyAlignment="1">
      <alignment horizontal="center" wrapText="1"/>
    </xf>
    <xf numFmtId="164" fontId="21" fillId="2" borderId="36" xfId="0" applyNumberFormat="1" applyFont="1" applyFill="1" applyBorder="1" applyAlignment="1">
      <alignment horizontal="center" wrapText="1"/>
    </xf>
    <xf numFmtId="164" fontId="19" fillId="2" borderId="37" xfId="0" applyNumberFormat="1" applyFont="1" applyFill="1" applyBorder="1" applyAlignment="1">
      <alignment horizontal="center"/>
    </xf>
    <xf numFmtId="164" fontId="19" fillId="21" borderId="7" xfId="0" applyNumberFormat="1" applyFont="1" applyFill="1" applyBorder="1" applyAlignment="1">
      <alignment horizontal="center"/>
    </xf>
    <xf numFmtId="164" fontId="21" fillId="2" borderId="12" xfId="0" applyNumberFormat="1" applyFont="1" applyFill="1" applyBorder="1" applyAlignment="1">
      <alignment horizontal="center"/>
    </xf>
    <xf numFmtId="172" fontId="20" fillId="19" borderId="35" xfId="0" applyNumberFormat="1" applyFont="1" applyFill="1" applyBorder="1" applyAlignment="1">
      <alignment/>
    </xf>
    <xf numFmtId="166" fontId="20" fillId="21" borderId="7" xfId="0" applyNumberFormat="1" applyFont="1" applyFill="1" applyBorder="1" applyAlignment="1">
      <alignment/>
    </xf>
    <xf numFmtId="164" fontId="22" fillId="2" borderId="12" xfId="0" applyNumberFormat="1" applyFont="1" applyFill="1" applyBorder="1" applyAlignment="1">
      <alignment/>
    </xf>
    <xf numFmtId="164" fontId="20" fillId="21" borderId="0" xfId="0" applyNumberFormat="1" applyFont="1" applyFill="1" applyBorder="1" applyAlignment="1">
      <alignment/>
    </xf>
    <xf numFmtId="166" fontId="20" fillId="2" borderId="47" xfId="0" applyNumberFormat="1" applyFont="1" applyFill="1" applyBorder="1" applyAlignment="1">
      <alignment/>
    </xf>
    <xf numFmtId="164" fontId="19" fillId="2" borderId="7" xfId="0" applyNumberFormat="1" applyFont="1" applyFill="1" applyBorder="1" applyAlignment="1">
      <alignment horizontal="left"/>
    </xf>
    <xf numFmtId="164" fontId="20" fillId="2" borderId="7" xfId="0" applyNumberFormat="1" applyFont="1" applyFill="1" applyBorder="1" applyAlignment="1">
      <alignment horizontal="left"/>
    </xf>
    <xf numFmtId="168" fontId="20" fillId="2" borderId="43" xfId="0" applyNumberFormat="1" applyFont="1" applyFill="1" applyBorder="1" applyAlignment="1">
      <alignment/>
    </xf>
    <xf numFmtId="164" fontId="20" fillId="2" borderId="43" xfId="0" applyNumberFormat="1" applyFont="1" applyFill="1" applyBorder="1" applyAlignment="1">
      <alignment horizontal="left"/>
    </xf>
    <xf numFmtId="171" fontId="20" fillId="19" borderId="0" xfId="0" applyNumberFormat="1" applyFont="1" applyFill="1" applyBorder="1" applyAlignment="1">
      <alignment/>
    </xf>
    <xf numFmtId="164" fontId="19" fillId="2" borderId="16" xfId="0" applyNumberFormat="1" applyFont="1" applyFill="1" applyBorder="1" applyAlignment="1">
      <alignment horizontal="right"/>
    </xf>
    <xf numFmtId="164" fontId="20" fillId="19" borderId="0" xfId="0" applyNumberFormat="1" applyFont="1" applyFill="1" applyBorder="1" applyAlignment="1">
      <alignment horizontal="left"/>
    </xf>
    <xf numFmtId="168" fontId="20" fillId="2" borderId="37" xfId="0" applyNumberFormat="1" applyFont="1" applyFill="1" applyBorder="1" applyAlignment="1">
      <alignment/>
    </xf>
    <xf numFmtId="168" fontId="20" fillId="2" borderId="7" xfId="0" applyNumberFormat="1" applyFont="1" applyFill="1" applyBorder="1" applyAlignment="1">
      <alignment/>
    </xf>
    <xf numFmtId="164" fontId="20" fillId="2" borderId="37" xfId="0" applyNumberFormat="1" applyFont="1" applyFill="1" applyBorder="1" applyAlignment="1">
      <alignment horizontal="left"/>
    </xf>
    <xf numFmtId="164" fontId="19" fillId="2" borderId="43" xfId="0" applyNumberFormat="1" applyFont="1" applyFill="1" applyBorder="1" applyAlignment="1">
      <alignment/>
    </xf>
    <xf numFmtId="164" fontId="19" fillId="2" borderId="16" xfId="0" applyNumberFormat="1" applyFont="1" applyFill="1" applyBorder="1" applyAlignment="1">
      <alignment horizontal="left"/>
    </xf>
    <xf numFmtId="164" fontId="23" fillId="0" borderId="48" xfId="0" applyFont="1" applyBorder="1" applyAlignment="1">
      <alignment vertical="top"/>
    </xf>
    <xf numFmtId="164" fontId="0" fillId="0" borderId="48" xfId="0" applyFont="1" applyBorder="1" applyAlignment="1">
      <alignment vertical="top"/>
    </xf>
    <xf numFmtId="164" fontId="19" fillId="19" borderId="0" xfId="0" applyNumberFormat="1" applyFont="1" applyFill="1" applyBorder="1" applyAlignment="1">
      <alignment/>
    </xf>
    <xf numFmtId="164" fontId="19" fillId="2" borderId="12" xfId="0" applyNumberFormat="1" applyFont="1" applyFill="1" applyBorder="1" applyAlignment="1">
      <alignment wrapText="1"/>
    </xf>
    <xf numFmtId="164" fontId="19" fillId="2" borderId="7" xfId="0" applyNumberFormat="1" applyFont="1" applyFill="1" applyBorder="1" applyAlignment="1">
      <alignment wrapText="1"/>
    </xf>
    <xf numFmtId="164" fontId="19" fillId="2" borderId="16" xfId="0" applyNumberFormat="1" applyFont="1" applyFill="1" applyBorder="1" applyAlignment="1">
      <alignment wrapText="1"/>
    </xf>
    <xf numFmtId="164" fontId="19" fillId="19" borderId="0" xfId="0" applyNumberFormat="1" applyFont="1" applyFill="1" applyBorder="1" applyAlignment="1">
      <alignment horizontal="center" wrapText="1"/>
    </xf>
    <xf numFmtId="170" fontId="20" fillId="2" borderId="7" xfId="0" applyNumberFormat="1" applyFont="1" applyFill="1" applyBorder="1" applyAlignment="1">
      <alignment horizontal="left"/>
    </xf>
    <xf numFmtId="173" fontId="20" fillId="2" borderId="16" xfId="0" applyNumberFormat="1" applyFont="1" applyFill="1" applyBorder="1" applyAlignment="1">
      <alignment horizontal="left"/>
    </xf>
    <xf numFmtId="171" fontId="20" fillId="2" borderId="7" xfId="0" applyNumberFormat="1" applyFont="1" applyFill="1" applyBorder="1" applyAlignment="1">
      <alignment/>
    </xf>
    <xf numFmtId="168" fontId="20" fillId="2" borderId="12" xfId="0" applyNumberFormat="1" applyFont="1" applyFill="1" applyBorder="1" applyAlignment="1">
      <alignment/>
    </xf>
    <xf numFmtId="171" fontId="20" fillId="2" borderId="48" xfId="0" applyNumberFormat="1" applyFont="1" applyFill="1" applyBorder="1" applyAlignment="1">
      <alignment/>
    </xf>
    <xf numFmtId="168" fontId="20" fillId="2" borderId="16" xfId="0" applyNumberFormat="1" applyFont="1" applyFill="1" applyBorder="1" applyAlignment="1">
      <alignment/>
    </xf>
    <xf numFmtId="166" fontId="20" fillId="2" borderId="48" xfId="0" applyNumberFormat="1" applyFont="1" applyFill="1" applyBorder="1" applyAlignment="1">
      <alignment/>
    </xf>
    <xf numFmtId="164" fontId="20" fillId="2" borderId="16" xfId="0" applyNumberFormat="1" applyFont="1" applyFill="1" applyBorder="1" applyAlignment="1">
      <alignment horizontal="left"/>
    </xf>
    <xf numFmtId="164" fontId="20" fillId="2" borderId="48" xfId="0" applyNumberFormat="1" applyFont="1" applyFill="1" applyBorder="1" applyAlignment="1">
      <alignment/>
    </xf>
    <xf numFmtId="164" fontId="0" fillId="0" borderId="0" xfId="0" applyFont="1" applyAlignment="1">
      <alignment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33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GridLines="0" zoomScale="60" zoomScaleNormal="60" workbookViewId="0" topLeftCell="B1">
      <pane ySplit="8" topLeftCell="A22" activePane="bottomLeft" state="frozen"/>
      <selection pane="topLeft" activeCell="B1" sqref="B1"/>
      <selection pane="bottomLeft" activeCell="O32" sqref="O32"/>
    </sheetView>
  </sheetViews>
  <sheetFormatPr defaultColWidth="10.3984375" defaultRowHeight="19.5" customHeight="1"/>
  <cols>
    <col min="1" max="1" width="13" style="1" customWidth="1"/>
    <col min="2" max="2" width="8" style="1" customWidth="1"/>
    <col min="3" max="3" width="9.09765625" style="1" customWidth="1"/>
    <col min="4" max="4" width="9.5" style="1" customWidth="1"/>
    <col min="5" max="5" width="7.69921875" style="1" customWidth="1"/>
    <col min="6" max="6" width="9.19921875" style="1" customWidth="1"/>
    <col min="7" max="7" width="7.69921875" style="1" customWidth="1"/>
    <col min="8" max="8" width="8.69921875" style="1" customWidth="1"/>
    <col min="9" max="9" width="9.69921875" style="1" customWidth="1"/>
    <col min="10" max="10" width="6.69921875" style="1" customWidth="1"/>
    <col min="11" max="11" width="7.19921875" style="1" customWidth="1"/>
    <col min="12" max="12" width="7.8984375" style="1" customWidth="1"/>
    <col min="13" max="14" width="9.19921875" style="1" customWidth="1"/>
    <col min="15" max="15" width="21.8984375" style="1" customWidth="1"/>
    <col min="16" max="16" width="11.8984375" style="1" customWidth="1"/>
    <col min="17" max="16384" width="10.19921875" style="1" customWidth="1"/>
  </cols>
  <sheetData>
    <row r="1" spans="1:16" ht="13.5" customHeight="1">
      <c r="A1" s="2" t="s">
        <v>0</v>
      </c>
      <c r="B1" s="3"/>
      <c r="C1" s="3"/>
      <c r="D1" s="4"/>
      <c r="E1" s="5"/>
      <c r="F1" s="6"/>
      <c r="G1" s="6"/>
      <c r="H1" s="7"/>
      <c r="I1" s="8"/>
      <c r="J1" s="5"/>
      <c r="K1" s="9"/>
      <c r="L1" s="3" t="s">
        <v>1</v>
      </c>
      <c r="M1" s="10"/>
      <c r="N1" s="10"/>
      <c r="O1" s="10"/>
      <c r="P1" s="11"/>
    </row>
    <row r="2" spans="1:16" ht="13.5" customHeight="1">
      <c r="A2" s="12"/>
      <c r="B2" s="13"/>
      <c r="C2" s="13"/>
      <c r="D2" s="14"/>
      <c r="E2" s="15"/>
      <c r="F2" s="16" t="s">
        <v>2</v>
      </c>
      <c r="G2" s="17"/>
      <c r="H2" s="18"/>
      <c r="I2" s="19"/>
      <c r="J2" s="20"/>
      <c r="K2" s="9"/>
      <c r="L2" s="21" t="s">
        <v>3</v>
      </c>
      <c r="M2" s="22"/>
      <c r="N2" s="22"/>
      <c r="O2" s="22"/>
      <c r="P2" s="23"/>
    </row>
    <row r="3" spans="1:16" ht="27" customHeight="1">
      <c r="A3" s="24" t="s">
        <v>4</v>
      </c>
      <c r="B3" s="25" t="s">
        <v>5</v>
      </c>
      <c r="C3" s="25" t="s">
        <v>6</v>
      </c>
      <c r="D3" s="26" t="s">
        <v>7</v>
      </c>
      <c r="E3" s="27"/>
      <c r="F3" s="28" t="s">
        <v>8</v>
      </c>
      <c r="G3" s="29" t="s">
        <v>9</v>
      </c>
      <c r="H3" s="30" t="s">
        <v>10</v>
      </c>
      <c r="I3" s="31" t="s">
        <v>11</v>
      </c>
      <c r="J3" s="20"/>
      <c r="K3" s="32"/>
      <c r="L3" s="21" t="s">
        <v>12</v>
      </c>
      <c r="M3" s="22"/>
      <c r="N3" s="22"/>
      <c r="O3" s="22"/>
      <c r="P3" s="23"/>
    </row>
    <row r="4" spans="1:16" ht="13.5" customHeight="1">
      <c r="A4" s="33"/>
      <c r="B4" s="34">
        <v>3.785</v>
      </c>
      <c r="C4" s="35">
        <v>10.53</v>
      </c>
      <c r="D4" s="36">
        <v>-65</v>
      </c>
      <c r="E4" s="27"/>
      <c r="F4" s="37">
        <v>419.4</v>
      </c>
      <c r="G4" s="38">
        <v>14</v>
      </c>
      <c r="H4" s="13">
        <v>6</v>
      </c>
      <c r="I4" s="39">
        <f>F4/(G4*H4)</f>
        <v>4.992857142857143</v>
      </c>
      <c r="J4" s="20"/>
      <c r="K4" s="9"/>
      <c r="L4" s="21" t="s">
        <v>13</v>
      </c>
      <c r="M4" s="22"/>
      <c r="N4" s="22"/>
      <c r="O4" s="22"/>
      <c r="P4" s="23"/>
    </row>
    <row r="5" spans="1:16" ht="13.5" customHeight="1">
      <c r="A5" s="40"/>
      <c r="B5" s="41"/>
      <c r="C5" s="41"/>
      <c r="D5" s="42"/>
      <c r="E5" s="43"/>
      <c r="F5" s="44"/>
      <c r="G5" s="17"/>
      <c r="H5" s="18"/>
      <c r="I5" s="42"/>
      <c r="J5" s="5"/>
      <c r="K5" s="9"/>
      <c r="L5" s="21" t="s">
        <v>14</v>
      </c>
      <c r="M5" s="22"/>
      <c r="N5" s="22"/>
      <c r="O5" s="22"/>
      <c r="P5" s="23"/>
    </row>
    <row r="6" spans="1:16" ht="13.5" customHeight="1">
      <c r="A6" s="45" t="s">
        <v>15</v>
      </c>
      <c r="B6" s="46">
        <f>'Calibrations - Table 1 - Table '!B47</f>
        <v>630.9594999999999</v>
      </c>
      <c r="C6" s="46"/>
      <c r="D6" s="21" t="s">
        <v>16</v>
      </c>
      <c r="E6" s="5"/>
      <c r="F6" s="47"/>
      <c r="G6" s="47"/>
      <c r="H6" s="9"/>
      <c r="I6" s="21"/>
      <c r="J6" s="5"/>
      <c r="K6" s="9" t="s">
        <v>17</v>
      </c>
      <c r="L6" s="21"/>
      <c r="M6" s="48"/>
      <c r="N6" s="49"/>
      <c r="O6" s="49"/>
      <c r="P6" s="49"/>
    </row>
    <row r="7" spans="1:16" ht="69.75" customHeight="1">
      <c r="A7" s="50" t="s">
        <v>18</v>
      </c>
      <c r="B7" s="51" t="s">
        <v>19</v>
      </c>
      <c r="C7" s="51" t="s">
        <v>19</v>
      </c>
      <c r="D7" s="52" t="s">
        <v>20</v>
      </c>
      <c r="E7" s="53" t="s">
        <v>21</v>
      </c>
      <c r="F7" s="54" t="s">
        <v>22</v>
      </c>
      <c r="G7" s="54" t="s">
        <v>23</v>
      </c>
      <c r="H7" s="55" t="s">
        <v>23</v>
      </c>
      <c r="I7" s="56" t="s">
        <v>24</v>
      </c>
      <c r="J7" s="53" t="s">
        <v>25</v>
      </c>
      <c r="K7" s="55" t="s">
        <v>25</v>
      </c>
      <c r="L7" s="56" t="s">
        <v>26</v>
      </c>
      <c r="M7" s="53" t="s">
        <v>27</v>
      </c>
      <c r="N7" s="54" t="s">
        <v>28</v>
      </c>
      <c r="O7" s="57" t="s">
        <v>29</v>
      </c>
      <c r="P7" s="57"/>
    </row>
    <row r="8" spans="1:16" ht="33.75" customHeight="1">
      <c r="A8" s="50"/>
      <c r="B8" s="58" t="s">
        <v>30</v>
      </c>
      <c r="C8" s="58" t="s">
        <v>31</v>
      </c>
      <c r="D8" s="52" t="s">
        <v>32</v>
      </c>
      <c r="E8" s="59" t="s">
        <v>33</v>
      </c>
      <c r="F8" s="57" t="s">
        <v>34</v>
      </c>
      <c r="G8" s="57" t="s">
        <v>33</v>
      </c>
      <c r="H8" s="60" t="s">
        <v>34</v>
      </c>
      <c r="I8" s="52" t="s">
        <v>35</v>
      </c>
      <c r="J8" s="59" t="s">
        <v>36</v>
      </c>
      <c r="K8" s="60" t="s">
        <v>37</v>
      </c>
      <c r="L8" s="52"/>
      <c r="M8" s="53" t="s">
        <v>38</v>
      </c>
      <c r="N8" s="54" t="s">
        <v>39</v>
      </c>
      <c r="O8" s="57"/>
      <c r="P8" s="57"/>
    </row>
    <row r="9" spans="1:16" s="67" customFormat="1" ht="13.5" customHeight="1">
      <c r="A9" s="61">
        <v>40806</v>
      </c>
      <c r="B9" s="62">
        <v>8</v>
      </c>
      <c r="C9" s="62">
        <v>45</v>
      </c>
      <c r="D9" s="63">
        <v>58</v>
      </c>
      <c r="E9" s="64">
        <f>D9*C4</f>
        <v>610.74</v>
      </c>
      <c r="F9" s="65">
        <f>E9/B4</f>
        <v>161.35799207397622</v>
      </c>
      <c r="G9" s="65">
        <f>B6-E9</f>
        <v>20.219499999999925</v>
      </c>
      <c r="H9" s="32">
        <f>(G9/B4)</f>
        <v>5.342007926023758</v>
      </c>
      <c r="I9" s="63">
        <v>18</v>
      </c>
      <c r="J9" s="64">
        <f>G9/(I9/24)</f>
        <v>26.959333333333234</v>
      </c>
      <c r="K9" s="32">
        <f>H9/(I9/24)</f>
        <v>7.122677234698344</v>
      </c>
      <c r="L9" s="63">
        <v>7</v>
      </c>
      <c r="M9" s="64">
        <f>G9/L9/(I9/24)</f>
        <v>3.851333333333319</v>
      </c>
      <c r="N9" s="65">
        <f>H9/L9/(I9/24)</f>
        <v>1.0175253192426206</v>
      </c>
      <c r="O9" s="66"/>
      <c r="P9" s="66"/>
    </row>
    <row r="10" spans="1:16" ht="13.5" customHeight="1">
      <c r="A10" s="68">
        <v>40807</v>
      </c>
      <c r="B10" s="46">
        <v>8</v>
      </c>
      <c r="C10" s="46">
        <v>30</v>
      </c>
      <c r="D10" s="69">
        <v>53</v>
      </c>
      <c r="E10" s="70">
        <f>D10*$C$4</f>
        <v>558.0899999999999</v>
      </c>
      <c r="F10" s="71">
        <f>E10/$B$4</f>
        <v>147.447820343461</v>
      </c>
      <c r="G10" s="65">
        <f>B6-E10</f>
        <v>72.86950000000002</v>
      </c>
      <c r="H10" s="32">
        <f>(G10/B4)</f>
        <v>19.252179656538974</v>
      </c>
      <c r="I10" s="72">
        <v>23.75</v>
      </c>
      <c r="J10" s="64">
        <f>G10/(I10/24)</f>
        <v>73.63654736842106</v>
      </c>
      <c r="K10" s="32">
        <f>H10/(I10/24)</f>
        <v>19.454834179239384</v>
      </c>
      <c r="L10" s="63">
        <v>7</v>
      </c>
      <c r="M10" s="64">
        <f>G10/L10/(I10/24)</f>
        <v>10.519506766917296</v>
      </c>
      <c r="N10" s="65">
        <f>H10/L10/(I10/24)</f>
        <v>2.779262025605626</v>
      </c>
      <c r="O10" s="47"/>
      <c r="P10" s="47"/>
    </row>
    <row r="11" spans="1:16" ht="13.5" customHeight="1">
      <c r="A11" s="68">
        <v>40808</v>
      </c>
      <c r="B11" s="46">
        <v>8</v>
      </c>
      <c r="C11" s="46">
        <v>50</v>
      </c>
      <c r="D11" s="69">
        <v>47</v>
      </c>
      <c r="E11" s="70">
        <f>D11*$C$4+$D$4</f>
        <v>429.90999999999997</v>
      </c>
      <c r="F11" s="71">
        <f>E11/$B$4</f>
        <v>113.58256274768823</v>
      </c>
      <c r="G11" s="71">
        <f>E10-E11</f>
        <v>128.17999999999995</v>
      </c>
      <c r="H11" s="73">
        <f>G11/$B$4</f>
        <v>33.865257595772775</v>
      </c>
      <c r="I11" s="74">
        <v>24.33</v>
      </c>
      <c r="J11" s="70">
        <f>(G11/I11)*24</f>
        <v>126.44143033292227</v>
      </c>
      <c r="K11" s="73">
        <f>J11/$B$4</f>
        <v>33.4059261117364</v>
      </c>
      <c r="L11" s="69">
        <v>7</v>
      </c>
      <c r="M11" s="70">
        <f>J11/L11</f>
        <v>18.063061476131754</v>
      </c>
      <c r="N11" s="71">
        <f>M11/$B$4</f>
        <v>4.772275158819486</v>
      </c>
      <c r="O11" s="47"/>
      <c r="P11" s="47"/>
    </row>
    <row r="12" spans="1:16" ht="13.5" customHeight="1">
      <c r="A12" s="68">
        <v>40808</v>
      </c>
      <c r="B12" s="46">
        <v>11</v>
      </c>
      <c r="C12" s="46">
        <v>50</v>
      </c>
      <c r="D12" s="69">
        <v>74</v>
      </c>
      <c r="E12" s="70">
        <f>D12*$C$4+$D$4</f>
        <v>714.2199999999999</v>
      </c>
      <c r="F12" s="71">
        <f>E12/$B$4</f>
        <v>188.69749009247025</v>
      </c>
      <c r="G12" s="71">
        <f>E11-E12</f>
        <v>-284.30999999999995</v>
      </c>
      <c r="H12" s="73">
        <f>G12/$B$4</f>
        <v>-75.11492734478202</v>
      </c>
      <c r="I12" s="74">
        <v>3</v>
      </c>
      <c r="J12" s="70">
        <f>(G12/I12)*24</f>
        <v>-2274.4799999999996</v>
      </c>
      <c r="K12" s="73">
        <f>J12/$B$4</f>
        <v>-600.9194187582561</v>
      </c>
      <c r="L12" s="69">
        <v>7</v>
      </c>
      <c r="M12" s="70">
        <f>J12/L12</f>
        <v>-324.9257142857142</v>
      </c>
      <c r="N12" s="71">
        <f>M12/$B$4</f>
        <v>-85.84563125117944</v>
      </c>
      <c r="O12" s="47" t="s">
        <v>40</v>
      </c>
      <c r="P12" s="47"/>
    </row>
    <row r="13" spans="1:16" ht="13.5" customHeight="1">
      <c r="A13" s="68">
        <v>40809</v>
      </c>
      <c r="B13" s="21">
        <v>9</v>
      </c>
      <c r="C13" s="21">
        <v>34</v>
      </c>
      <c r="D13" s="21">
        <v>59</v>
      </c>
      <c r="E13" s="70">
        <f>D13*$C$4+$D$4</f>
        <v>556.27</v>
      </c>
      <c r="F13" s="71">
        <f>E13/$B$4</f>
        <v>146.9669749009247</v>
      </c>
      <c r="G13" s="71">
        <f>E12-E13</f>
        <v>157.94999999999993</v>
      </c>
      <c r="H13" s="73">
        <f>G13/$B$4</f>
        <v>41.73051519154556</v>
      </c>
      <c r="I13" s="74">
        <v>21.16</v>
      </c>
      <c r="J13" s="70">
        <f>(G13/I13)*24</f>
        <v>179.14933837429103</v>
      </c>
      <c r="K13" s="73">
        <f>J13/$B$4</f>
        <v>47.33139719267927</v>
      </c>
      <c r="L13" s="69">
        <v>6</v>
      </c>
      <c r="M13" s="70">
        <f>J13/L13</f>
        <v>29.85822306238184</v>
      </c>
      <c r="N13" s="71">
        <f>M13/$B$4</f>
        <v>7.888566198779878</v>
      </c>
      <c r="O13" s="47"/>
      <c r="P13" s="47"/>
    </row>
    <row r="14" spans="1:16" ht="13.5" customHeight="1">
      <c r="A14" s="68">
        <v>40810</v>
      </c>
      <c r="B14" s="21">
        <v>9</v>
      </c>
      <c r="C14" s="21">
        <v>16</v>
      </c>
      <c r="D14" s="21">
        <v>50.5</v>
      </c>
      <c r="E14" s="70">
        <f>D14*$C$4+$D$4</f>
        <v>466.765</v>
      </c>
      <c r="F14" s="71">
        <f>E14/$B$4</f>
        <v>123.31968295904886</v>
      </c>
      <c r="G14" s="71">
        <f>E13-E14</f>
        <v>89.505</v>
      </c>
      <c r="H14" s="73">
        <f>G14/$B$4</f>
        <v>23.647291941875825</v>
      </c>
      <c r="I14" s="21">
        <v>21.75</v>
      </c>
      <c r="J14" s="70">
        <f>(G14/I14)*24</f>
        <v>98.76413793103447</v>
      </c>
      <c r="K14" s="73">
        <f>J14/$B$4</f>
        <v>26.09356352206987</v>
      </c>
      <c r="L14" s="21">
        <v>6</v>
      </c>
      <c r="M14" s="70">
        <f>J14/L14</f>
        <v>16.460689655172413</v>
      </c>
      <c r="N14" s="71">
        <f>M14/$B$4</f>
        <v>4.348927253678312</v>
      </c>
      <c r="O14" s="47"/>
      <c r="P14" s="47"/>
    </row>
    <row r="15" spans="1:16" ht="13.5" customHeight="1">
      <c r="A15" s="68">
        <v>40811</v>
      </c>
      <c r="B15" s="46">
        <v>8</v>
      </c>
      <c r="C15" s="46">
        <v>56</v>
      </c>
      <c r="D15" s="69">
        <v>46</v>
      </c>
      <c r="E15" s="70">
        <f>D15*$C$4+$D$4</f>
        <v>419.38</v>
      </c>
      <c r="F15" s="71">
        <f>E15/$B$4</f>
        <v>110.8005284015852</v>
      </c>
      <c r="G15" s="71">
        <f>E14-E15</f>
        <v>47.38499999999999</v>
      </c>
      <c r="H15" s="73">
        <f>G15/$B$4</f>
        <v>12.51915455746367</v>
      </c>
      <c r="I15" s="74">
        <v>23.75</v>
      </c>
      <c r="J15" s="70">
        <f>(G15/I15)*24</f>
        <v>47.8837894736842</v>
      </c>
      <c r="K15" s="73">
        <f>J15/$B$4</f>
        <v>12.650935131752762</v>
      </c>
      <c r="L15" s="69">
        <v>6.5</v>
      </c>
      <c r="M15" s="70">
        <f>J15/L15</f>
        <v>7.366736842105262</v>
      </c>
      <c r="N15" s="71">
        <f>M15/$B$4</f>
        <v>1.946297712577348</v>
      </c>
      <c r="O15" s="47"/>
      <c r="P15" s="47"/>
    </row>
    <row r="16" spans="1:16" ht="13.5" customHeight="1">
      <c r="A16" s="68">
        <v>40811</v>
      </c>
      <c r="B16" s="46">
        <v>18</v>
      </c>
      <c r="C16" s="46">
        <v>37</v>
      </c>
      <c r="D16" s="69">
        <v>62</v>
      </c>
      <c r="E16" s="70">
        <f>D16*$C$4+$D$4</f>
        <v>587.86</v>
      </c>
      <c r="F16" s="71">
        <f>E16/$B$4</f>
        <v>155.3130779392338</v>
      </c>
      <c r="G16" s="71">
        <f>E15-E16</f>
        <v>-168.48000000000002</v>
      </c>
      <c r="H16" s="73">
        <f>G16/$B$4</f>
        <v>-44.51254953764862</v>
      </c>
      <c r="I16" s="74">
        <v>12</v>
      </c>
      <c r="J16" s="70">
        <f>(G16/I16)*24</f>
        <v>-336.96000000000004</v>
      </c>
      <c r="K16" s="73">
        <f>J16/$B$4</f>
        <v>-89.02509907529723</v>
      </c>
      <c r="L16" s="69">
        <v>6</v>
      </c>
      <c r="M16" s="70">
        <f>J16/L16</f>
        <v>-56.160000000000004</v>
      </c>
      <c r="N16" s="71">
        <f>M16/$B$4</f>
        <v>-14.837516512549538</v>
      </c>
      <c r="O16" s="47" t="s">
        <v>41</v>
      </c>
      <c r="P16" s="47"/>
    </row>
    <row r="17" spans="1:16" ht="13.5" customHeight="1">
      <c r="A17" s="68">
        <v>40812</v>
      </c>
      <c r="B17" s="46">
        <v>13</v>
      </c>
      <c r="C17" s="46">
        <v>14</v>
      </c>
      <c r="D17" s="69">
        <v>59</v>
      </c>
      <c r="E17" s="70">
        <f>D17*$C$4+$D$4</f>
        <v>556.27</v>
      </c>
      <c r="F17" s="71">
        <f>E17/$B$4</f>
        <v>146.9669749009247</v>
      </c>
      <c r="G17" s="71">
        <f>E16-E17</f>
        <v>31.590000000000032</v>
      </c>
      <c r="H17" s="73">
        <f>G17/$B$4</f>
        <v>8.346103038309122</v>
      </c>
      <c r="I17" s="74">
        <v>19</v>
      </c>
      <c r="J17" s="70">
        <f>(G17/I17)*24</f>
        <v>39.90315789473688</v>
      </c>
      <c r="K17" s="73">
        <f>J17/$B$4</f>
        <v>10.542445943127312</v>
      </c>
      <c r="L17" s="69">
        <v>6</v>
      </c>
      <c r="M17" s="70">
        <f>J17/L17</f>
        <v>6.65052631578948</v>
      </c>
      <c r="N17" s="71">
        <f>M17/$B$4</f>
        <v>1.757074323854552</v>
      </c>
      <c r="O17" s="47"/>
      <c r="P17" s="47"/>
    </row>
    <row r="18" spans="1:16" ht="13.5" customHeight="1">
      <c r="A18" s="68">
        <v>40813</v>
      </c>
      <c r="B18" s="46">
        <v>8</v>
      </c>
      <c r="C18" s="46">
        <v>30</v>
      </c>
      <c r="D18" s="69">
        <v>55</v>
      </c>
      <c r="E18" s="70">
        <f>D18*$C$4+$D$4</f>
        <v>514.15</v>
      </c>
      <c r="F18" s="71">
        <f>E18/$B$4</f>
        <v>135.83883751651254</v>
      </c>
      <c r="G18" s="71">
        <f>E17-E18</f>
        <v>42.120000000000005</v>
      </c>
      <c r="H18" s="73">
        <f>G18/$B$4</f>
        <v>11.128137384412154</v>
      </c>
      <c r="I18" s="74">
        <v>19.16</v>
      </c>
      <c r="J18" s="70">
        <f>(G18/I18)*24</f>
        <v>52.759916492693115</v>
      </c>
      <c r="K18" s="73">
        <f>J18/$B$4</f>
        <v>13.939211755004786</v>
      </c>
      <c r="L18" s="69">
        <v>7</v>
      </c>
      <c r="M18" s="70">
        <f>J18/L18</f>
        <v>7.5371309275275875</v>
      </c>
      <c r="N18" s="71">
        <f>M18/$B$4</f>
        <v>1.9913159650006835</v>
      </c>
      <c r="O18" s="47"/>
      <c r="P18" s="47"/>
    </row>
    <row r="19" spans="1:16" ht="13.5" customHeight="1">
      <c r="A19" s="68">
        <v>40814</v>
      </c>
      <c r="B19" s="46">
        <v>9</v>
      </c>
      <c r="C19" s="46">
        <v>0</v>
      </c>
      <c r="D19" s="69">
        <v>48</v>
      </c>
      <c r="E19" s="70">
        <f>D19*$C$4+$D$4</f>
        <v>440.43999999999994</v>
      </c>
      <c r="F19" s="71">
        <f>E19/$B$4</f>
        <v>116.36459709379126</v>
      </c>
      <c r="G19" s="71">
        <f>E18-E19</f>
        <v>73.71000000000004</v>
      </c>
      <c r="H19" s="73">
        <f>G19/$B$4</f>
        <v>19.474240422721277</v>
      </c>
      <c r="I19" s="74">
        <v>24.5</v>
      </c>
      <c r="J19" s="70">
        <f>(G19/I19)*24</f>
        <v>72.20571428571432</v>
      </c>
      <c r="K19" s="73">
        <f>J19/$B$4</f>
        <v>19.076806944706558</v>
      </c>
      <c r="L19" s="69">
        <v>8</v>
      </c>
      <c r="M19" s="70">
        <f>J19/L19</f>
        <v>9.02571428571429</v>
      </c>
      <c r="N19" s="71">
        <f>M19/$B$4</f>
        <v>2.3846008680883197</v>
      </c>
      <c r="O19" s="47" t="s">
        <v>42</v>
      </c>
      <c r="P19" s="47"/>
    </row>
    <row r="20" spans="1:16" s="81" customFormat="1" ht="13.5" customHeight="1">
      <c r="A20" s="75">
        <v>40817</v>
      </c>
      <c r="B20" s="76">
        <v>13</v>
      </c>
      <c r="C20" s="76">
        <v>44</v>
      </c>
      <c r="D20" s="76">
        <v>55.5</v>
      </c>
      <c r="E20" s="77">
        <f>D20*$C$4+$D$4</f>
        <v>519.415</v>
      </c>
      <c r="F20" s="78">
        <f>E20/$B$4</f>
        <v>137.22985468956406</v>
      </c>
      <c r="G20" s="78">
        <f>E19-E20</f>
        <v>-78.97500000000002</v>
      </c>
      <c r="H20" s="79">
        <f>G20/$B$4</f>
        <v>-20.865257595772793</v>
      </c>
      <c r="I20" s="76"/>
      <c r="J20" s="77" t="e">
        <f>(G20/I20)*24</f>
        <v>#DIV/0!</v>
      </c>
      <c r="K20" s="79" t="e">
        <f>J20/$B$4</f>
        <v>#DIV/0!</v>
      </c>
      <c r="L20" s="76">
        <v>6</v>
      </c>
      <c r="M20" s="77" t="e">
        <f>J20/L20</f>
        <v>#DIV/0!</v>
      </c>
      <c r="N20" s="78" t="e">
        <f>M20/$B$4</f>
        <v>#DIV/0!</v>
      </c>
      <c r="O20" s="80"/>
      <c r="P20" s="80"/>
    </row>
    <row r="21" spans="1:16" ht="13.5" customHeight="1">
      <c r="A21" s="68">
        <v>40818</v>
      </c>
      <c r="B21" s="21">
        <v>8</v>
      </c>
      <c r="C21" s="21">
        <v>25</v>
      </c>
      <c r="D21" s="21">
        <v>53</v>
      </c>
      <c r="E21" s="70">
        <f>D21*$C$4+$D$4</f>
        <v>493.0899999999999</v>
      </c>
      <c r="F21" s="71">
        <f>E21/$B$4</f>
        <v>130.27476882430645</v>
      </c>
      <c r="G21" s="71">
        <f>E20-E21</f>
        <v>26.325000000000045</v>
      </c>
      <c r="H21" s="73">
        <f>G21/$B$4</f>
        <v>6.955085865257607</v>
      </c>
      <c r="I21" s="21"/>
      <c r="J21" s="70"/>
      <c r="K21" s="73"/>
      <c r="L21" s="21"/>
      <c r="M21" s="70"/>
      <c r="N21" s="71" t="s">
        <v>43</v>
      </c>
      <c r="O21" s="47" t="s">
        <v>44</v>
      </c>
      <c r="P21" s="47"/>
    </row>
    <row r="22" spans="1:16" ht="13.5" customHeight="1">
      <c r="A22" s="68">
        <v>40819</v>
      </c>
      <c r="B22" s="21">
        <v>8</v>
      </c>
      <c r="C22" s="21">
        <v>25</v>
      </c>
      <c r="D22" s="21">
        <v>42</v>
      </c>
      <c r="E22" s="70">
        <f>D22*$C$4+$D$4</f>
        <v>377.26</v>
      </c>
      <c r="F22" s="71">
        <f>E22/$B$4</f>
        <v>99.67239101717304</v>
      </c>
      <c r="G22" s="71">
        <f>E21-E22</f>
        <v>115.82999999999993</v>
      </c>
      <c r="H22" s="73">
        <f>G22/$B$4</f>
        <v>30.6023778071334</v>
      </c>
      <c r="I22" s="21">
        <v>24</v>
      </c>
      <c r="J22" s="70">
        <f>(G22/I22)*24</f>
        <v>115.82999999999993</v>
      </c>
      <c r="K22" s="73">
        <f>J22/$B$4</f>
        <v>30.6023778071334</v>
      </c>
      <c r="L22" s="21">
        <v>6</v>
      </c>
      <c r="M22" s="70">
        <f>J22/L22</f>
        <v>19.30499999999999</v>
      </c>
      <c r="N22" s="71">
        <f>M22/$B$4</f>
        <v>5.1003963011889</v>
      </c>
      <c r="O22" s="47"/>
      <c r="P22" s="47"/>
    </row>
    <row r="23" spans="1:16" ht="13.5" customHeight="1">
      <c r="A23" s="68">
        <v>40820</v>
      </c>
      <c r="B23" s="21">
        <v>8</v>
      </c>
      <c r="C23" s="21">
        <v>40</v>
      </c>
      <c r="D23" s="21">
        <v>37</v>
      </c>
      <c r="E23" s="70">
        <f>D23*$C$4+$D$4</f>
        <v>324.60999999999996</v>
      </c>
      <c r="F23" s="71">
        <f>E23/$B$4</f>
        <v>85.76221928665784</v>
      </c>
      <c r="G23" s="71">
        <f>E22-E23</f>
        <v>52.650000000000034</v>
      </c>
      <c r="H23" s="73">
        <f>G23/$B$4</f>
        <v>13.9101717305152</v>
      </c>
      <c r="I23" s="21">
        <v>24</v>
      </c>
      <c r="J23" s="70">
        <f>(G23/I23)*24</f>
        <v>52.650000000000034</v>
      </c>
      <c r="K23" s="73">
        <f>J23/$B$4</f>
        <v>13.9101717305152</v>
      </c>
      <c r="L23" s="21">
        <v>6</v>
      </c>
      <c r="M23" s="70">
        <f>J23/L23</f>
        <v>8.775000000000006</v>
      </c>
      <c r="N23" s="71">
        <f>M23/$B$4</f>
        <v>2.3183619550858667</v>
      </c>
      <c r="O23" s="47"/>
      <c r="P23" s="47"/>
    </row>
    <row r="24" spans="1:16" ht="13.5" customHeight="1">
      <c r="A24" s="68">
        <v>40821</v>
      </c>
      <c r="B24" s="21">
        <v>8</v>
      </c>
      <c r="C24" s="21">
        <v>45</v>
      </c>
      <c r="D24" s="21">
        <v>32</v>
      </c>
      <c r="E24" s="70">
        <f>D24*$C$4+$D$4</f>
        <v>271.96</v>
      </c>
      <c r="F24" s="71">
        <f>E24/$B$4</f>
        <v>71.85204755614267</v>
      </c>
      <c r="G24" s="71">
        <f>E23-E24</f>
        <v>52.64999999999998</v>
      </c>
      <c r="H24" s="73">
        <f>G24/$B$4</f>
        <v>13.910171730515184</v>
      </c>
      <c r="I24" s="21">
        <v>24.5</v>
      </c>
      <c r="J24" s="70">
        <f>(G24/I24)*24</f>
        <v>51.57551020408161</v>
      </c>
      <c r="K24" s="73">
        <f>J24/$B$4</f>
        <v>13.626290674790384</v>
      </c>
      <c r="L24" s="21">
        <v>6</v>
      </c>
      <c r="M24" s="70">
        <f>J24/L24</f>
        <v>8.595918367346934</v>
      </c>
      <c r="N24" s="71">
        <f>M24/$B$4</f>
        <v>2.2710484457983973</v>
      </c>
      <c r="O24" s="47" t="s">
        <v>41</v>
      </c>
      <c r="P24" s="47"/>
    </row>
    <row r="25" spans="1:16" ht="13.5" customHeight="1">
      <c r="A25" s="68">
        <v>40821</v>
      </c>
      <c r="B25" s="21">
        <v>5</v>
      </c>
      <c r="C25" s="21">
        <v>15</v>
      </c>
      <c r="D25" s="21">
        <v>60</v>
      </c>
      <c r="E25" s="70">
        <f>D25*$C$4+$D$4</f>
        <v>566.8</v>
      </c>
      <c r="F25" s="71">
        <f>E25/$B$4</f>
        <v>149.74900924702771</v>
      </c>
      <c r="G25" s="71">
        <f>E24-E25</f>
        <v>-294.84</v>
      </c>
      <c r="H25" s="73">
        <f>G25/$B$4</f>
        <v>-77.89696169088506</v>
      </c>
      <c r="I25" s="21">
        <v>8.5</v>
      </c>
      <c r="J25" s="70">
        <f>(G25/I25)*24</f>
        <v>-832.4894117647059</v>
      </c>
      <c r="K25" s="73">
        <f>J25/$B$4</f>
        <v>-219.94436242132255</v>
      </c>
      <c r="L25" s="21">
        <v>6</v>
      </c>
      <c r="M25" s="70">
        <f>J25/L25</f>
        <v>-138.74823529411765</v>
      </c>
      <c r="N25" s="71">
        <f>M25/$B$4</f>
        <v>-36.657393736887094</v>
      </c>
      <c r="O25" s="47"/>
      <c r="P25" s="47"/>
    </row>
    <row r="26" spans="1:16" ht="13.5" customHeight="1">
      <c r="A26" s="68">
        <v>40822</v>
      </c>
      <c r="B26" s="21">
        <v>8</v>
      </c>
      <c r="C26" s="21">
        <v>22</v>
      </c>
      <c r="D26" s="21">
        <v>59</v>
      </c>
      <c r="E26" s="70">
        <f>D26*$C$4+$D$4</f>
        <v>556.27</v>
      </c>
      <c r="F26" s="71">
        <f>E26/$B$4</f>
        <v>146.9669749009247</v>
      </c>
      <c r="G26" s="71">
        <f>E25-E26</f>
        <v>10.529999999999973</v>
      </c>
      <c r="H26" s="73">
        <f>G26/$B$4</f>
        <v>2.782034346103031</v>
      </c>
      <c r="I26" s="21">
        <v>15</v>
      </c>
      <c r="J26" s="70">
        <f>(G26/I26)*24</f>
        <v>16.847999999999956</v>
      </c>
      <c r="K26" s="73">
        <f>J26/$B$4</f>
        <v>4.45125495376485</v>
      </c>
      <c r="L26" s="21">
        <v>6.25</v>
      </c>
      <c r="M26" s="70">
        <f>J26/L26</f>
        <v>2.695679999999993</v>
      </c>
      <c r="N26" s="71">
        <f>M26/$B$4</f>
        <v>0.712200792602376</v>
      </c>
      <c r="O26" s="47" t="s">
        <v>45</v>
      </c>
      <c r="P26" s="47"/>
    </row>
    <row r="27" spans="1:16" ht="13.5" customHeight="1">
      <c r="A27" s="68">
        <v>40823</v>
      </c>
      <c r="B27" s="21">
        <v>8</v>
      </c>
      <c r="C27" s="21">
        <v>20</v>
      </c>
      <c r="D27" s="21">
        <v>52</v>
      </c>
      <c r="E27" s="70">
        <f>D27*$C$4+$D$4</f>
        <v>482.55999999999995</v>
      </c>
      <c r="F27" s="71">
        <f>E27/$B$4</f>
        <v>127.49273447820342</v>
      </c>
      <c r="G27" s="71">
        <f>E26-E27</f>
        <v>73.71000000000004</v>
      </c>
      <c r="H27" s="73">
        <f>G27/$B$4</f>
        <v>19.474240422721277</v>
      </c>
      <c r="I27" s="21">
        <v>24</v>
      </c>
      <c r="J27" s="70">
        <f>(G27/I27)*24</f>
        <v>73.71000000000004</v>
      </c>
      <c r="K27" s="73">
        <f>J27/$B$4</f>
        <v>19.474240422721277</v>
      </c>
      <c r="L27" s="21">
        <v>6</v>
      </c>
      <c r="M27" s="70">
        <f>J27/L27</f>
        <v>12.285000000000005</v>
      </c>
      <c r="N27" s="71">
        <f>M27/$B$4</f>
        <v>3.2457067371202126</v>
      </c>
      <c r="O27" s="47"/>
      <c r="P27" s="47"/>
    </row>
    <row r="28" spans="1:16" ht="13.5" customHeight="1">
      <c r="A28" s="68">
        <v>40824</v>
      </c>
      <c r="B28" s="21">
        <v>8</v>
      </c>
      <c r="C28" s="21">
        <v>0</v>
      </c>
      <c r="D28" s="21">
        <v>48</v>
      </c>
      <c r="E28" s="70">
        <f>D28*$C$4+$D$4</f>
        <v>440.43999999999994</v>
      </c>
      <c r="F28" s="71">
        <f>E28/$B$4</f>
        <v>116.36459709379126</v>
      </c>
      <c r="G28" s="71">
        <f>E27-E28</f>
        <v>42.120000000000005</v>
      </c>
      <c r="H28" s="73">
        <f>G28/$B$4</f>
        <v>11.128137384412154</v>
      </c>
      <c r="I28" s="21">
        <v>23.66</v>
      </c>
      <c r="J28" s="70">
        <f>(G28/I28)*24</f>
        <v>42.72527472527473</v>
      </c>
      <c r="K28" s="73">
        <f>J28/$B$4</f>
        <v>11.288051446571924</v>
      </c>
      <c r="L28" s="21">
        <v>6</v>
      </c>
      <c r="M28" s="70">
        <f>J28/L28</f>
        <v>7.120879120879121</v>
      </c>
      <c r="N28" s="71">
        <f>M28/$B$4</f>
        <v>1.881341907761987</v>
      </c>
      <c r="O28" s="47" t="s">
        <v>46</v>
      </c>
      <c r="P28" s="47"/>
    </row>
    <row r="29" spans="1:16" ht="13.5" customHeight="1">
      <c r="A29" s="68">
        <v>40825</v>
      </c>
      <c r="B29" s="21">
        <v>8</v>
      </c>
      <c r="C29" s="21">
        <v>15</v>
      </c>
      <c r="D29" s="21">
        <v>42</v>
      </c>
      <c r="E29" s="70">
        <f>D29*$C$4+$D$4</f>
        <v>377.26</v>
      </c>
      <c r="F29" s="71">
        <f>E29/$B$4</f>
        <v>99.67239101717304</v>
      </c>
      <c r="G29" s="71">
        <f>E28-E29</f>
        <v>63.17999999999995</v>
      </c>
      <c r="H29" s="73">
        <f>G29/$B$4</f>
        <v>16.692206076618216</v>
      </c>
      <c r="I29" s="21">
        <v>8.25</v>
      </c>
      <c r="J29" s="70">
        <f>(G29/I29)*24</f>
        <v>183.79636363636348</v>
      </c>
      <c r="K29" s="73">
        <f>J29/$B$4</f>
        <v>48.55914495016208</v>
      </c>
      <c r="L29" s="21">
        <v>7</v>
      </c>
      <c r="M29" s="70">
        <f>J29/L29</f>
        <v>26.256623376623356</v>
      </c>
      <c r="N29" s="71">
        <f>M29/$B$4</f>
        <v>6.9370207071660115</v>
      </c>
      <c r="O29" s="47"/>
      <c r="P29" s="47"/>
    </row>
    <row r="30" spans="1:16" ht="13.5" customHeight="1">
      <c r="A30" s="68">
        <v>40825</v>
      </c>
      <c r="B30" s="21">
        <v>11</v>
      </c>
      <c r="C30" s="21">
        <v>20</v>
      </c>
      <c r="D30" s="21">
        <v>73</v>
      </c>
      <c r="E30" s="70">
        <f>D30*$C$4+$D$4</f>
        <v>703.6899999999999</v>
      </c>
      <c r="F30" s="71">
        <f>E30/$B$4</f>
        <v>185.91545574636723</v>
      </c>
      <c r="G30" s="71">
        <f>E29-E30</f>
        <v>-326.42999999999995</v>
      </c>
      <c r="H30" s="73">
        <f>G30/$B$4</f>
        <v>-86.24306472919417</v>
      </c>
      <c r="I30" s="21">
        <v>3</v>
      </c>
      <c r="J30" s="70">
        <f>(G30/I30)*24</f>
        <v>-2611.4399999999996</v>
      </c>
      <c r="K30" s="73">
        <f>J30/$B$4</f>
        <v>-689.9445178335534</v>
      </c>
      <c r="L30" s="21">
        <v>7</v>
      </c>
      <c r="M30" s="70">
        <f>J30/L30</f>
        <v>-373.06285714285707</v>
      </c>
      <c r="N30" s="71">
        <f>M30/$B$4</f>
        <v>-98.56350254765047</v>
      </c>
      <c r="O30" s="47" t="s">
        <v>41</v>
      </c>
      <c r="P30" s="47"/>
    </row>
    <row r="31" spans="1:16" ht="13.5" customHeight="1">
      <c r="A31" s="68">
        <v>40826</v>
      </c>
      <c r="B31" s="21">
        <v>8</v>
      </c>
      <c r="C31" s="21">
        <v>57</v>
      </c>
      <c r="D31" s="21">
        <v>60</v>
      </c>
      <c r="E31" s="70">
        <f>D31*$C$4+$D$4</f>
        <v>566.8</v>
      </c>
      <c r="F31" s="71">
        <f>E31/$B$4</f>
        <v>149.74900924702771</v>
      </c>
      <c r="G31" s="71">
        <f>E30-E31</f>
        <v>136.89</v>
      </c>
      <c r="H31" s="73">
        <f>G31/$B$4</f>
        <v>36.16644649933949</v>
      </c>
      <c r="I31" s="21">
        <v>20.37</v>
      </c>
      <c r="J31" s="70">
        <f>(G31/I31)*24</f>
        <v>161.28424153166418</v>
      </c>
      <c r="K31" s="73">
        <f>J31/$B$4</f>
        <v>42.61142444693902</v>
      </c>
      <c r="L31" s="21">
        <v>7</v>
      </c>
      <c r="M31" s="70">
        <f>J31/L31</f>
        <v>23.040605933094884</v>
      </c>
      <c r="N31" s="71">
        <f>M31/$B$4</f>
        <v>6.087346349562717</v>
      </c>
      <c r="O31" s="47"/>
      <c r="P31" s="47"/>
    </row>
    <row r="32" spans="1:16" ht="13.5" customHeight="1">
      <c r="A32" s="68">
        <v>40827</v>
      </c>
      <c r="B32" s="21">
        <v>8</v>
      </c>
      <c r="C32" s="21">
        <v>15</v>
      </c>
      <c r="D32" s="21">
        <v>55</v>
      </c>
      <c r="E32" s="70">
        <f>D32*$C$4+$D$4</f>
        <v>514.15</v>
      </c>
      <c r="F32" s="71">
        <f>E32/$B$4</f>
        <v>135.83883751651254</v>
      </c>
      <c r="G32" s="71">
        <f>E31-E32</f>
        <v>52.64999999999998</v>
      </c>
      <c r="H32" s="73">
        <f>G32/$B$4</f>
        <v>13.910171730515184</v>
      </c>
      <c r="I32" s="21">
        <v>24.75</v>
      </c>
      <c r="J32" s="70">
        <f>(G32/I32)*24</f>
        <v>51.05454545454543</v>
      </c>
      <c r="K32" s="73">
        <f>J32/$B$4</f>
        <v>13.488651375045029</v>
      </c>
      <c r="L32" s="21">
        <v>7</v>
      </c>
      <c r="M32" s="70">
        <f>J32/L32</f>
        <v>7.293506493506491</v>
      </c>
      <c r="N32" s="71">
        <f>M32/$B$4</f>
        <v>1.926950196435004</v>
      </c>
      <c r="O32" s="47"/>
      <c r="P32" s="47"/>
    </row>
    <row r="33" spans="1:16" ht="13.5" customHeight="1">
      <c r="A33" s="68"/>
      <c r="B33" s="21"/>
      <c r="C33" s="21"/>
      <c r="D33" s="21"/>
      <c r="E33" s="70">
        <f>D33*$C$4+$D$4</f>
        <v>-65</v>
      </c>
      <c r="F33" s="71">
        <f>E33/$B$4</f>
        <v>-17.17305151915456</v>
      </c>
      <c r="G33" s="71">
        <f>E32-E33</f>
        <v>579.15</v>
      </c>
      <c r="H33" s="73">
        <f>G33/$B$4</f>
        <v>153.01188903566708</v>
      </c>
      <c r="I33" s="21"/>
      <c r="J33" s="70" t="e">
        <f>(G33/I33)*24</f>
        <v>#DIV/0!</v>
      </c>
      <c r="K33" s="73" t="e">
        <f>J33/$B$4</f>
        <v>#DIV/0!</v>
      </c>
      <c r="L33" s="21"/>
      <c r="M33" s="70" t="e">
        <f>J33/L33</f>
        <v>#DIV/0!</v>
      </c>
      <c r="N33" s="71" t="e">
        <f>M33/$B$4</f>
        <v>#DIV/0!</v>
      </c>
      <c r="O33" s="47"/>
      <c r="P33" s="47"/>
    </row>
    <row r="34" spans="1:16" ht="13.5" customHeight="1">
      <c r="A34" s="68"/>
      <c r="B34" s="21"/>
      <c r="C34" s="21"/>
      <c r="D34" s="21"/>
      <c r="E34" s="70">
        <f>D34*$C$4+$D$4</f>
        <v>-65</v>
      </c>
      <c r="F34" s="71">
        <f>E34/$B$4</f>
        <v>-17.17305151915456</v>
      </c>
      <c r="G34" s="71">
        <f>E33-E34</f>
        <v>0</v>
      </c>
      <c r="H34" s="73">
        <f>G34/$B$4</f>
        <v>0</v>
      </c>
      <c r="I34" s="21"/>
      <c r="J34" s="70" t="e">
        <f>(G34/I34)*24</f>
        <v>#DIV/0!</v>
      </c>
      <c r="K34" s="73" t="e">
        <f>J34/$B$4</f>
        <v>#DIV/0!</v>
      </c>
      <c r="L34" s="21"/>
      <c r="M34" s="70" t="e">
        <f>J34/L34</f>
        <v>#DIV/0!</v>
      </c>
      <c r="N34" s="71" t="e">
        <f>M34/$B$4</f>
        <v>#DIV/0!</v>
      </c>
      <c r="O34" s="47"/>
      <c r="P34" s="47"/>
    </row>
    <row r="35" spans="1:16" ht="13.5" customHeight="1">
      <c r="A35" s="68"/>
      <c r="B35" s="21"/>
      <c r="C35" s="21"/>
      <c r="D35" s="21"/>
      <c r="E35" s="70">
        <f>D35*$C$4+$D$4</f>
        <v>-65</v>
      </c>
      <c r="F35" s="71">
        <f>E35/$B$4</f>
        <v>-17.17305151915456</v>
      </c>
      <c r="G35" s="47"/>
      <c r="H35" s="73"/>
      <c r="I35" s="21"/>
      <c r="J35" s="70"/>
      <c r="K35" s="73"/>
      <c r="L35" s="21"/>
      <c r="M35" s="70"/>
      <c r="N35" s="71"/>
      <c r="O35" s="47"/>
      <c r="P35" s="47"/>
    </row>
    <row r="36" spans="1:16" ht="13.5" customHeight="1">
      <c r="A36" s="68"/>
      <c r="B36" s="21"/>
      <c r="C36" s="21"/>
      <c r="D36" s="21"/>
      <c r="E36" s="70">
        <f>D36*$C$4+$D$4</f>
        <v>-65</v>
      </c>
      <c r="F36" s="71">
        <f>E36/$B$4</f>
        <v>-17.17305151915456</v>
      </c>
      <c r="G36" s="47">
        <f>E35-E36</f>
        <v>0</v>
      </c>
      <c r="H36" s="73">
        <f>G36/$B$4</f>
        <v>0</v>
      </c>
      <c r="I36" s="21"/>
      <c r="J36" s="70" t="e">
        <f>(G36/I36)*24</f>
        <v>#DIV/0!</v>
      </c>
      <c r="K36" s="73" t="e">
        <f>J36/$B$4</f>
        <v>#DIV/0!</v>
      </c>
      <c r="L36" s="21"/>
      <c r="M36" s="70" t="e">
        <f>J36/L36</f>
        <v>#DIV/0!</v>
      </c>
      <c r="N36" s="71" t="e">
        <f>M36/$B$4</f>
        <v>#DIV/0!</v>
      </c>
      <c r="O36" s="47"/>
      <c r="P36" s="47"/>
    </row>
    <row r="37" spans="1:16" ht="13.5" customHeight="1">
      <c r="A37" s="68"/>
      <c r="B37" s="21"/>
      <c r="C37" s="21"/>
      <c r="D37" s="21"/>
      <c r="E37" s="70">
        <f>D37*$C$4+$D$4</f>
        <v>-65</v>
      </c>
      <c r="F37" s="71">
        <f>E37/$B$4</f>
        <v>-17.17305151915456</v>
      </c>
      <c r="G37" s="47">
        <f>E36-E37</f>
        <v>0</v>
      </c>
      <c r="H37" s="73">
        <f>G37/$B$4</f>
        <v>0</v>
      </c>
      <c r="I37" s="21"/>
      <c r="J37" s="70" t="e">
        <f>(G37/I37)*24</f>
        <v>#DIV/0!</v>
      </c>
      <c r="K37" s="73" t="e">
        <f>J37/$B$4</f>
        <v>#DIV/0!</v>
      </c>
      <c r="L37" s="21"/>
      <c r="M37" s="70" t="e">
        <f>J37/L37</f>
        <v>#DIV/0!</v>
      </c>
      <c r="N37" s="71" t="e">
        <f>M37/$B$4</f>
        <v>#DIV/0!</v>
      </c>
      <c r="O37" s="47"/>
      <c r="P37" s="47"/>
    </row>
    <row r="38" spans="1:16" ht="13.5" customHeight="1">
      <c r="A38" s="68"/>
      <c r="B38" s="21"/>
      <c r="C38" s="21"/>
      <c r="D38" s="21"/>
      <c r="E38" s="70">
        <f>D38*$C$4+$D$4</f>
        <v>-65</v>
      </c>
      <c r="F38" s="71">
        <f>E38/$B$4</f>
        <v>-17.17305151915456</v>
      </c>
      <c r="G38" s="47">
        <f>E37-E38</f>
        <v>0</v>
      </c>
      <c r="H38" s="73">
        <f>G38/$B$4</f>
        <v>0</v>
      </c>
      <c r="I38" s="21"/>
      <c r="J38" s="70" t="e">
        <f>(G38/I38)*24</f>
        <v>#DIV/0!</v>
      </c>
      <c r="K38" s="73" t="e">
        <f>J38/$B$4</f>
        <v>#DIV/0!</v>
      </c>
      <c r="L38" s="21"/>
      <c r="M38" s="70" t="e">
        <f>J38/L38</f>
        <v>#DIV/0!</v>
      </c>
      <c r="N38" s="71" t="e">
        <f>M38/$B$4</f>
        <v>#DIV/0!</v>
      </c>
      <c r="O38" s="47"/>
      <c r="P38" s="47"/>
    </row>
    <row r="39" spans="1:16" ht="13.5" customHeight="1">
      <c r="A39" s="68"/>
      <c r="B39" s="21"/>
      <c r="C39" s="21"/>
      <c r="D39" s="21"/>
      <c r="E39" s="70">
        <f>D39*$C$4+$D$4</f>
        <v>-65</v>
      </c>
      <c r="F39" s="71">
        <f>E39/$B$4</f>
        <v>-17.17305151915456</v>
      </c>
      <c r="G39" s="47">
        <f>E38-E39</f>
        <v>0</v>
      </c>
      <c r="H39" s="73">
        <f>G39/$B$4</f>
        <v>0</v>
      </c>
      <c r="I39" s="21"/>
      <c r="J39" s="70" t="e">
        <f>(G39/I39)*24</f>
        <v>#DIV/0!</v>
      </c>
      <c r="K39" s="73" t="e">
        <f>J39/$B$4</f>
        <v>#DIV/0!</v>
      </c>
      <c r="L39" s="21"/>
      <c r="M39" s="70" t="e">
        <f>J39/L39</f>
        <v>#DIV/0!</v>
      </c>
      <c r="N39" s="71" t="e">
        <f>M39/$B$4</f>
        <v>#DIV/0!</v>
      </c>
      <c r="O39" s="47"/>
      <c r="P39" s="47"/>
    </row>
    <row r="40" spans="1:16" ht="13.5" customHeight="1">
      <c r="A40" s="68"/>
      <c r="B40" s="21"/>
      <c r="C40" s="21"/>
      <c r="D40" s="21"/>
      <c r="E40" s="70">
        <f>D40*$C$4+$D$4</f>
        <v>-65</v>
      </c>
      <c r="F40" s="71">
        <f>E40/$B$4</f>
        <v>-17.17305151915456</v>
      </c>
      <c r="G40" s="47">
        <f>E39-E40</f>
        <v>0</v>
      </c>
      <c r="H40" s="73">
        <f>G40/$B$4</f>
        <v>0</v>
      </c>
      <c r="I40" s="21"/>
      <c r="J40" s="70" t="e">
        <f>(G40/I40)*24</f>
        <v>#DIV/0!</v>
      </c>
      <c r="K40" s="73" t="e">
        <f>J40/$B$4</f>
        <v>#DIV/0!</v>
      </c>
      <c r="L40" s="21"/>
      <c r="M40" s="70" t="e">
        <f>J40/L40</f>
        <v>#DIV/0!</v>
      </c>
      <c r="N40" s="71" t="e">
        <f>M40/$B$4</f>
        <v>#DIV/0!</v>
      </c>
      <c r="O40" s="47"/>
      <c r="P40" s="47"/>
    </row>
    <row r="41" spans="1:16" ht="13.5" customHeight="1">
      <c r="A41" s="68"/>
      <c r="B41" s="21"/>
      <c r="C41" s="21"/>
      <c r="D41" s="21"/>
      <c r="E41" s="70">
        <f>D41*$C$4+$D$4</f>
        <v>-65</v>
      </c>
      <c r="F41" s="71">
        <f>E41/$B$4</f>
        <v>-17.17305151915456</v>
      </c>
      <c r="G41" s="47">
        <f>E40-E41</f>
        <v>0</v>
      </c>
      <c r="H41" s="73">
        <f>G41/$B$4</f>
        <v>0</v>
      </c>
      <c r="I41" s="21"/>
      <c r="J41" s="82"/>
      <c r="K41" s="73"/>
      <c r="L41" s="21"/>
      <c r="M41" s="82"/>
      <c r="N41" s="71">
        <f>M41/$B$4</f>
        <v>0</v>
      </c>
      <c r="O41" s="47"/>
      <c r="P41" s="47"/>
    </row>
    <row r="42" spans="1:16" ht="13.5" customHeight="1">
      <c r="A42" s="68"/>
      <c r="B42" s="21"/>
      <c r="C42" s="21"/>
      <c r="D42" s="21"/>
      <c r="E42" s="70">
        <f>D42*$C$4+$D$4</f>
        <v>-65</v>
      </c>
      <c r="F42" s="71">
        <f>E42/$B$4</f>
        <v>-17.17305151915456</v>
      </c>
      <c r="G42" s="47"/>
      <c r="H42" s="73"/>
      <c r="I42" s="21"/>
      <c r="J42" s="70"/>
      <c r="K42" s="73"/>
      <c r="L42" s="21"/>
      <c r="M42" s="70"/>
      <c r="N42" s="71"/>
      <c r="O42" s="47"/>
      <c r="P42" s="47"/>
    </row>
    <row r="43" spans="1:16" ht="13.5" customHeight="1">
      <c r="A43" s="68"/>
      <c r="B43" s="21"/>
      <c r="C43" s="21"/>
      <c r="D43" s="21"/>
      <c r="E43" s="70">
        <f>D43*$C$4+$D$4</f>
        <v>-65</v>
      </c>
      <c r="F43" s="71">
        <f>E43/$B$4</f>
        <v>-17.17305151915456</v>
      </c>
      <c r="G43" s="47">
        <f>(E42-E43)+G41</f>
        <v>0</v>
      </c>
      <c r="H43" s="73">
        <f>G43/$B$4</f>
        <v>0</v>
      </c>
      <c r="I43" s="21"/>
      <c r="J43" s="70" t="e">
        <f>(G43/I43)*24</f>
        <v>#DIV/0!</v>
      </c>
      <c r="K43" s="73" t="e">
        <f>J43/$B$4</f>
        <v>#DIV/0!</v>
      </c>
      <c r="L43" s="21"/>
      <c r="M43" s="70" t="e">
        <f>J43/L43</f>
        <v>#DIV/0!</v>
      </c>
      <c r="N43" s="71" t="e">
        <f>M43/$B$4</f>
        <v>#DIV/0!</v>
      </c>
      <c r="O43" s="47"/>
      <c r="P43" s="47"/>
    </row>
    <row r="44" spans="1:16" ht="22.5" customHeight="1">
      <c r="A44" s="68"/>
      <c r="B44" s="21"/>
      <c r="C44" s="21"/>
      <c r="D44" s="21"/>
      <c r="E44" s="70">
        <f>D44*$C$4+$D$4</f>
        <v>-65</v>
      </c>
      <c r="F44" s="71">
        <f>E44/$B$4</f>
        <v>-17.17305151915456</v>
      </c>
      <c r="G44" s="47">
        <f>E43-E44</f>
        <v>0</v>
      </c>
      <c r="H44" s="73">
        <f>G44/$B$4</f>
        <v>0</v>
      </c>
      <c r="I44" s="21"/>
      <c r="J44" s="70" t="e">
        <f>(G44/I44)*24</f>
        <v>#DIV/0!</v>
      </c>
      <c r="K44" s="73" t="e">
        <f>J44/$B$4</f>
        <v>#DIV/0!</v>
      </c>
      <c r="L44" s="21"/>
      <c r="M44" s="70" t="e">
        <f>J44/L44</f>
        <v>#DIV/0!</v>
      </c>
      <c r="N44" s="71" t="e">
        <f>M44/$B$4</f>
        <v>#DIV/0!</v>
      </c>
      <c r="O44" s="47"/>
      <c r="P44" s="47"/>
    </row>
    <row r="45" spans="1:16" ht="13.5" customHeight="1">
      <c r="A45" s="68"/>
      <c r="B45" s="21"/>
      <c r="C45" s="21"/>
      <c r="D45" s="21"/>
      <c r="E45" s="70">
        <f>D45*$C$4+$D$4</f>
        <v>-65</v>
      </c>
      <c r="F45" s="71">
        <f>E45/$B$4</f>
        <v>-17.17305151915456</v>
      </c>
      <c r="G45" s="47">
        <f>E44-E45</f>
        <v>0</v>
      </c>
      <c r="H45" s="73">
        <f>G45/$B$4</f>
        <v>0</v>
      </c>
      <c r="I45" s="21"/>
      <c r="J45" s="70"/>
      <c r="K45" s="73"/>
      <c r="L45" s="21"/>
      <c r="M45" s="70"/>
      <c r="N45" s="71"/>
      <c r="O45" s="47"/>
      <c r="P45" s="47"/>
    </row>
    <row r="46" spans="1:16" ht="13.5" customHeight="1">
      <c r="A46" s="68"/>
      <c r="B46" s="21"/>
      <c r="C46" s="21"/>
      <c r="D46" s="21"/>
      <c r="E46" s="70">
        <f>D46*$C$4+$D$4</f>
        <v>-65</v>
      </c>
      <c r="F46" s="71">
        <f>E46/$B$4</f>
        <v>-17.17305151915456</v>
      </c>
      <c r="G46" s="47"/>
      <c r="H46" s="73"/>
      <c r="I46" s="21"/>
      <c r="J46" s="70"/>
      <c r="K46" s="73"/>
      <c r="L46" s="21"/>
      <c r="M46" s="70"/>
      <c r="N46" s="71"/>
      <c r="O46" s="47"/>
      <c r="P46" s="47"/>
    </row>
    <row r="47" spans="1:16" ht="13.5" customHeight="1">
      <c r="A47" s="68"/>
      <c r="B47" s="21"/>
      <c r="C47" s="21"/>
      <c r="D47" s="21"/>
      <c r="E47" s="70">
        <f>D47*$C$4+$D$4</f>
        <v>-65</v>
      </c>
      <c r="F47" s="71">
        <f>E47/$B$4</f>
        <v>-17.17305151915456</v>
      </c>
      <c r="G47" s="47"/>
      <c r="H47" s="73">
        <f>G47/$B$4</f>
        <v>0</v>
      </c>
      <c r="I47" s="21"/>
      <c r="J47" s="70" t="e">
        <f>(G47/I47)*24</f>
        <v>#DIV/0!</v>
      </c>
      <c r="K47" s="73" t="e">
        <f>J47/$B$4</f>
        <v>#DIV/0!</v>
      </c>
      <c r="L47" s="21"/>
      <c r="M47" s="70" t="e">
        <f>J47/L47</f>
        <v>#DIV/0!</v>
      </c>
      <c r="N47" s="71" t="e">
        <f>M47/$B$4</f>
        <v>#DIV/0!</v>
      </c>
      <c r="O47" s="47"/>
      <c r="P47" s="47"/>
    </row>
    <row r="48" spans="1:16" ht="13.5" customHeight="1">
      <c r="A48" s="68"/>
      <c r="B48" s="21"/>
      <c r="C48" s="21"/>
      <c r="D48" s="21"/>
      <c r="E48" s="70">
        <f>D48*$C$4+$D$4</f>
        <v>-65</v>
      </c>
      <c r="F48" s="71">
        <f>E48/$B$4</f>
        <v>-17.17305151915456</v>
      </c>
      <c r="G48" s="47">
        <f>E47-E48</f>
        <v>0</v>
      </c>
      <c r="H48" s="73">
        <f>G48/$B$4</f>
        <v>0</v>
      </c>
      <c r="I48" s="21"/>
      <c r="J48" s="70" t="e">
        <f>(G48/I48)*24</f>
        <v>#DIV/0!</v>
      </c>
      <c r="K48" s="73" t="e">
        <f>J48/$B$4</f>
        <v>#DIV/0!</v>
      </c>
      <c r="L48" s="21"/>
      <c r="M48" s="70" t="e">
        <f>J48/L48</f>
        <v>#DIV/0!</v>
      </c>
      <c r="N48" s="71" t="e">
        <f>M48/$B$4</f>
        <v>#DIV/0!</v>
      </c>
      <c r="O48" s="47"/>
      <c r="P48" s="47"/>
    </row>
    <row r="49" spans="1:16" ht="13.5" customHeight="1">
      <c r="A49" s="68"/>
      <c r="B49" s="21"/>
      <c r="C49" s="21"/>
      <c r="D49" s="21"/>
      <c r="E49" s="70">
        <f>D49*$C$4+$D$4</f>
        <v>-65</v>
      </c>
      <c r="F49" s="71">
        <f>E49/$B$4</f>
        <v>-17.17305151915456</v>
      </c>
      <c r="G49" s="47">
        <f>E48-E49</f>
        <v>0</v>
      </c>
      <c r="H49" s="73">
        <f>G49/$B$4</f>
        <v>0</v>
      </c>
      <c r="I49" s="21"/>
      <c r="J49" s="70" t="e">
        <f>(G49/I49)*24</f>
        <v>#DIV/0!</v>
      </c>
      <c r="K49" s="73" t="e">
        <f>J49/$B$4</f>
        <v>#DIV/0!</v>
      </c>
      <c r="L49" s="21"/>
      <c r="M49" s="70" t="e">
        <f>J49/L49</f>
        <v>#DIV/0!</v>
      </c>
      <c r="N49" s="71" t="e">
        <f>M49/$B$4</f>
        <v>#DIV/0!</v>
      </c>
      <c r="O49" s="47"/>
      <c r="P49" s="47"/>
    </row>
    <row r="50" spans="1:16" ht="13.5" customHeight="1">
      <c r="A50" s="68"/>
      <c r="B50" s="21"/>
      <c r="C50" s="21"/>
      <c r="D50" s="21"/>
      <c r="E50" s="70">
        <f>D50*$C$4+$D$4</f>
        <v>-65</v>
      </c>
      <c r="F50" s="71">
        <f>E50/$B$4</f>
        <v>-17.17305151915456</v>
      </c>
      <c r="G50" s="47">
        <f>E49-E50</f>
        <v>0</v>
      </c>
      <c r="H50" s="73">
        <f>G50/$B$4</f>
        <v>0</v>
      </c>
      <c r="I50" s="21"/>
      <c r="J50" s="70" t="e">
        <f>(G50/I50)*24</f>
        <v>#DIV/0!</v>
      </c>
      <c r="K50" s="73" t="e">
        <f>J50/$B$4</f>
        <v>#DIV/0!</v>
      </c>
      <c r="L50" s="21"/>
      <c r="M50" s="70" t="e">
        <f>J50/L50</f>
        <v>#DIV/0!</v>
      </c>
      <c r="N50" s="71" t="e">
        <f>M50/$B$4</f>
        <v>#DIV/0!</v>
      </c>
      <c r="O50" s="47"/>
      <c r="P50" s="47"/>
    </row>
    <row r="51" spans="1:16" ht="13.5" customHeight="1">
      <c r="A51" s="68"/>
      <c r="B51" s="21"/>
      <c r="C51" s="21"/>
      <c r="D51" s="21"/>
      <c r="E51" s="70">
        <f>D51*$C$4+$D$4</f>
        <v>-65</v>
      </c>
      <c r="F51" s="71"/>
      <c r="G51" s="47"/>
      <c r="H51" s="73"/>
      <c r="I51" s="21"/>
      <c r="J51" s="70"/>
      <c r="K51" s="73"/>
      <c r="L51" s="21"/>
      <c r="M51" s="70"/>
      <c r="N51" s="71"/>
      <c r="O51" s="47"/>
      <c r="P51" s="47"/>
    </row>
    <row r="52" spans="1:16" ht="13.5" customHeight="1">
      <c r="A52" s="68"/>
      <c r="B52" s="21"/>
      <c r="C52" s="21"/>
      <c r="D52" s="21"/>
      <c r="E52" s="70">
        <f>D52*$C$4+$D$4</f>
        <v>-65</v>
      </c>
      <c r="F52" s="71">
        <f>E52/$B$4</f>
        <v>-17.17305151915456</v>
      </c>
      <c r="G52" s="47">
        <f>5*C4</f>
        <v>52.65</v>
      </c>
      <c r="H52" s="73">
        <f>G52/$B$4</f>
        <v>13.910171730515192</v>
      </c>
      <c r="I52" s="21"/>
      <c r="J52" s="70" t="e">
        <f>(G52/I52)*24</f>
        <v>#DIV/0!</v>
      </c>
      <c r="K52" s="73" t="e">
        <f>J52/$B$4</f>
        <v>#DIV/0!</v>
      </c>
      <c r="L52" s="21"/>
      <c r="M52" s="70" t="e">
        <f>J52/L52</f>
        <v>#DIV/0!</v>
      </c>
      <c r="N52" s="71" t="e">
        <f>M52/$B$4</f>
        <v>#DIV/0!</v>
      </c>
      <c r="O52" s="47"/>
      <c r="P52" s="47"/>
    </row>
    <row r="53" spans="1:16" ht="13.5" customHeight="1">
      <c r="A53" s="68"/>
      <c r="B53" s="21"/>
      <c r="C53" s="21"/>
      <c r="D53" s="21"/>
      <c r="E53" s="70">
        <f>D53*$C$4+$D$4</f>
        <v>-65</v>
      </c>
      <c r="F53" s="71">
        <f>E53/$B$4</f>
        <v>-17.17305151915456</v>
      </c>
      <c r="G53" s="47">
        <f>7*C4</f>
        <v>73.71</v>
      </c>
      <c r="H53" s="73">
        <f>G53/$B$4</f>
        <v>19.474240422721266</v>
      </c>
      <c r="I53" s="21"/>
      <c r="J53" s="70" t="e">
        <f>(G53/I53)*24</f>
        <v>#DIV/0!</v>
      </c>
      <c r="K53" s="73" t="e">
        <f>J53/$B$4</f>
        <v>#DIV/0!</v>
      </c>
      <c r="L53" s="21"/>
      <c r="M53" s="70" t="e">
        <f>J53/L53</f>
        <v>#DIV/0!</v>
      </c>
      <c r="N53" s="71" t="e">
        <f>M53/$B$4</f>
        <v>#DIV/0!</v>
      </c>
      <c r="O53" s="47"/>
      <c r="P53" s="47"/>
    </row>
    <row r="54" spans="1:16" ht="13.5" customHeight="1">
      <c r="A54" s="68"/>
      <c r="B54" s="21"/>
      <c r="C54" s="21"/>
      <c r="D54" s="21"/>
      <c r="E54" s="70">
        <f>D54*$C$4+$D$4</f>
        <v>-65</v>
      </c>
      <c r="F54" s="71">
        <f>E54/$B$4</f>
        <v>-17.17305151915456</v>
      </c>
      <c r="G54" s="47">
        <f>E53-E54</f>
        <v>0</v>
      </c>
      <c r="H54" s="73">
        <f>G54/$B$4</f>
        <v>0</v>
      </c>
      <c r="I54" s="21"/>
      <c r="J54" s="70" t="e">
        <f>(G54/I54)*24</f>
        <v>#DIV/0!</v>
      </c>
      <c r="K54" s="73" t="e">
        <f>J54/$B$4</f>
        <v>#DIV/0!</v>
      </c>
      <c r="L54" s="21"/>
      <c r="M54" s="70" t="e">
        <f>J54/L54</f>
        <v>#DIV/0!</v>
      </c>
      <c r="N54" s="71" t="e">
        <f>M54/$B$4</f>
        <v>#DIV/0!</v>
      </c>
      <c r="O54" s="47"/>
      <c r="P54" s="47"/>
    </row>
    <row r="55" spans="1:16" ht="13.5" customHeight="1">
      <c r="A55" s="68"/>
      <c r="B55" s="21"/>
      <c r="C55" s="21"/>
      <c r="D55" s="21"/>
      <c r="E55" s="70">
        <f>D55*$C$4+$D$4</f>
        <v>-65</v>
      </c>
      <c r="F55" s="71">
        <f>E55/$B$4</f>
        <v>-17.17305151915456</v>
      </c>
      <c r="G55" s="47">
        <f>E54-E55</f>
        <v>0</v>
      </c>
      <c r="H55" s="73">
        <f>G55/$B$4</f>
        <v>0</v>
      </c>
      <c r="I55" s="21"/>
      <c r="J55" s="70" t="e">
        <f>(G55/I55)*24</f>
        <v>#DIV/0!</v>
      </c>
      <c r="K55" s="73" t="e">
        <f>J55/$B$4</f>
        <v>#DIV/0!</v>
      </c>
      <c r="L55" s="21"/>
      <c r="M55" s="70" t="e">
        <f>J55/L55</f>
        <v>#DIV/0!</v>
      </c>
      <c r="N55" s="71" t="e">
        <f>M55/$B$4</f>
        <v>#DIV/0!</v>
      </c>
      <c r="O55" s="47"/>
      <c r="P55" s="47"/>
    </row>
    <row r="56" spans="1:16" ht="13.5" customHeight="1">
      <c r="A56" s="45"/>
      <c r="B56" s="21"/>
      <c r="C56" s="21"/>
      <c r="D56" s="21"/>
      <c r="E56" s="70"/>
      <c r="F56" s="47"/>
      <c r="G56" s="47"/>
      <c r="H56" s="9"/>
      <c r="I56" s="21"/>
      <c r="J56" s="5"/>
      <c r="K56" s="9"/>
      <c r="L56" s="21"/>
      <c r="M56" s="5"/>
      <c r="N56" s="47"/>
      <c r="O56" s="47"/>
      <c r="P56" s="47"/>
    </row>
    <row r="57" spans="1:16" ht="13.5" customHeight="1">
      <c r="A57" s="45"/>
      <c r="B57" s="21"/>
      <c r="C57" s="21"/>
      <c r="D57" s="21"/>
      <c r="E57" s="70"/>
      <c r="F57" s="47"/>
      <c r="G57" s="47"/>
      <c r="H57" s="9"/>
      <c r="I57" s="21"/>
      <c r="J57" s="5"/>
      <c r="K57" s="9"/>
      <c r="L57" s="21"/>
      <c r="M57" s="5"/>
      <c r="N57" s="47"/>
      <c r="O57" s="47"/>
      <c r="P57" s="47"/>
    </row>
    <row r="58" spans="1:16" ht="13.5" customHeight="1">
      <c r="A58" s="45"/>
      <c r="B58" s="21"/>
      <c r="C58" s="21"/>
      <c r="D58" s="21"/>
      <c r="E58" s="70"/>
      <c r="F58" s="47"/>
      <c r="G58" s="47"/>
      <c r="H58" s="9"/>
      <c r="I58" s="21"/>
      <c r="J58" s="5"/>
      <c r="K58" s="9"/>
      <c r="L58" s="21"/>
      <c r="M58" s="5"/>
      <c r="N58" s="47"/>
      <c r="O58" s="47"/>
      <c r="P58" s="47"/>
    </row>
    <row r="59" spans="1:16" ht="13.5" customHeight="1">
      <c r="A59" s="83"/>
      <c r="B59" s="84"/>
      <c r="C59" s="84"/>
      <c r="D59" s="84"/>
      <c r="E59" s="70"/>
      <c r="F59" s="47"/>
      <c r="G59" s="47"/>
      <c r="H59" s="9"/>
      <c r="I59" s="84"/>
      <c r="J59" s="5"/>
      <c r="K59" s="9"/>
      <c r="L59" s="84"/>
      <c r="M59" s="5"/>
      <c r="N59" s="47"/>
      <c r="O59" s="47"/>
      <c r="P59" s="47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Roman,Regular"&amp;12Water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="60" zoomScaleNormal="60" workbookViewId="0" topLeftCell="B1">
      <pane ySplit="8" topLeftCell="A19" activePane="bottomLeft" state="frozen"/>
      <selection pane="topLeft" activeCell="B1" sqref="B1"/>
      <selection pane="bottomLeft" activeCell="O32" sqref="O32"/>
    </sheetView>
  </sheetViews>
  <sheetFormatPr defaultColWidth="10.3984375" defaultRowHeight="19.5" customHeight="1"/>
  <cols>
    <col min="1" max="1" width="20" style="1" customWidth="1"/>
    <col min="2" max="3" width="5.8984375" style="1" customWidth="1"/>
    <col min="4" max="4" width="12.69921875" style="1" customWidth="1"/>
    <col min="5" max="5" width="8.69921875" style="1" customWidth="1"/>
    <col min="6" max="7" width="11.59765625" style="1" customWidth="1"/>
    <col min="8" max="8" width="9.19921875" style="1" customWidth="1"/>
    <col min="9" max="11" width="7.8984375" style="1" customWidth="1"/>
    <col min="12" max="12" width="9.69921875" style="1" customWidth="1"/>
    <col min="13" max="15" width="9.19921875" style="1" customWidth="1"/>
    <col min="16" max="16" width="40.09765625" style="1" customWidth="1"/>
    <col min="17" max="16384" width="10.19921875" style="1" customWidth="1"/>
  </cols>
  <sheetData>
    <row r="1" spans="1:16" ht="13.5" customHeight="1">
      <c r="A1" s="85" t="s">
        <v>47</v>
      </c>
      <c r="B1" s="85"/>
      <c r="C1" s="85"/>
      <c r="D1" s="86"/>
      <c r="E1" s="47"/>
      <c r="F1" s="47"/>
      <c r="G1" s="9"/>
      <c r="H1" s="87" t="s">
        <v>1</v>
      </c>
      <c r="I1" s="10"/>
      <c r="J1" s="10"/>
      <c r="K1" s="10"/>
      <c r="L1" s="10"/>
      <c r="M1" s="10"/>
      <c r="N1" s="10"/>
      <c r="O1" s="10"/>
      <c r="P1" s="5"/>
    </row>
    <row r="2" spans="1:16" ht="13.5" customHeight="1">
      <c r="A2" s="47"/>
      <c r="B2" s="47"/>
      <c r="C2" s="47"/>
      <c r="D2" s="88"/>
      <c r="E2" s="6"/>
      <c r="F2" s="6"/>
      <c r="G2" s="7"/>
      <c r="H2" s="22" t="s">
        <v>3</v>
      </c>
      <c r="I2" s="22"/>
      <c r="J2" s="22"/>
      <c r="K2" s="22"/>
      <c r="L2" s="22"/>
      <c r="M2" s="22"/>
      <c r="N2" s="22"/>
      <c r="O2" s="22"/>
      <c r="P2" s="5"/>
    </row>
    <row r="3" spans="1:16" ht="27" customHeight="1">
      <c r="A3" s="47" t="s">
        <v>48</v>
      </c>
      <c r="B3" s="47">
        <v>26</v>
      </c>
      <c r="C3" s="89" t="s">
        <v>49</v>
      </c>
      <c r="D3" s="90" t="s">
        <v>4</v>
      </c>
      <c r="E3" s="91" t="s">
        <v>5</v>
      </c>
      <c r="F3" s="91"/>
      <c r="G3" s="92" t="s">
        <v>6</v>
      </c>
      <c r="H3" s="22" t="s">
        <v>12</v>
      </c>
      <c r="I3" s="22"/>
      <c r="J3" s="22"/>
      <c r="K3" s="22"/>
      <c r="L3" s="22"/>
      <c r="M3" s="22"/>
      <c r="N3" s="22"/>
      <c r="O3" s="22"/>
      <c r="P3" s="5"/>
    </row>
    <row r="4" spans="1:16" ht="13.5" customHeight="1">
      <c r="A4" s="47" t="s">
        <v>50</v>
      </c>
      <c r="B4" s="47">
        <v>100</v>
      </c>
      <c r="C4" s="89" t="s">
        <v>51</v>
      </c>
      <c r="D4" s="93"/>
      <c r="E4" s="35">
        <v>3.78</v>
      </c>
      <c r="F4" s="35"/>
      <c r="G4" s="35">
        <f>'Calibrations - Table 1 - Table '!G16</f>
        <v>3.9187499999999997</v>
      </c>
      <c r="H4" s="22" t="s">
        <v>13</v>
      </c>
      <c r="I4" s="22"/>
      <c r="J4" s="22"/>
      <c r="K4" s="22"/>
      <c r="L4" s="22"/>
      <c r="M4" s="22"/>
      <c r="N4" s="22"/>
      <c r="O4" s="22"/>
      <c r="P4" s="5"/>
    </row>
    <row r="5" spans="1:16" ht="13.5" customHeight="1">
      <c r="A5" s="47" t="s">
        <v>52</v>
      </c>
      <c r="B5" s="94">
        <v>140</v>
      </c>
      <c r="C5" s="89" t="s">
        <v>51</v>
      </c>
      <c r="D5" s="95" t="s">
        <v>53</v>
      </c>
      <c r="E5" s="96">
        <v>0</v>
      </c>
      <c r="F5" s="96"/>
      <c r="G5" s="97" t="s">
        <v>54</v>
      </c>
      <c r="H5" s="22" t="s">
        <v>14</v>
      </c>
      <c r="I5" s="22"/>
      <c r="J5" s="22"/>
      <c r="K5" s="22"/>
      <c r="L5" s="22"/>
      <c r="M5" s="22"/>
      <c r="N5" s="22"/>
      <c r="O5" s="22"/>
      <c r="P5" s="5"/>
    </row>
    <row r="6" spans="1:16" ht="13.5" customHeight="1">
      <c r="A6" s="9" t="s">
        <v>55</v>
      </c>
      <c r="B6" s="21">
        <v>150</v>
      </c>
      <c r="C6" s="5" t="s">
        <v>51</v>
      </c>
      <c r="D6" s="98"/>
      <c r="E6" s="17"/>
      <c r="F6" s="17"/>
      <c r="G6" s="18"/>
      <c r="H6" s="22" t="s">
        <v>56</v>
      </c>
      <c r="I6" s="22"/>
      <c r="J6" s="22"/>
      <c r="K6" s="22"/>
      <c r="L6" s="22"/>
      <c r="M6" s="22"/>
      <c r="N6" s="22"/>
      <c r="O6" s="22"/>
      <c r="P6" s="5"/>
    </row>
    <row r="7" spans="1:16" ht="66.75" customHeight="1">
      <c r="A7" s="99" t="s">
        <v>18</v>
      </c>
      <c r="B7" s="100" t="s">
        <v>57</v>
      </c>
      <c r="C7" s="101" t="s">
        <v>57</v>
      </c>
      <c r="D7" s="52" t="s">
        <v>58</v>
      </c>
      <c r="E7" s="53" t="s">
        <v>21</v>
      </c>
      <c r="F7" s="102" t="s">
        <v>59</v>
      </c>
      <c r="G7" s="54" t="s">
        <v>60</v>
      </c>
      <c r="H7" s="103" t="s">
        <v>61</v>
      </c>
      <c r="I7" s="104" t="s">
        <v>62</v>
      </c>
      <c r="J7" s="105"/>
      <c r="K7" s="56" t="s">
        <v>26</v>
      </c>
      <c r="L7" s="106" t="s">
        <v>63</v>
      </c>
      <c r="M7" s="104" t="s">
        <v>28</v>
      </c>
      <c r="N7" s="104" t="s">
        <v>28</v>
      </c>
      <c r="O7" s="107" t="s">
        <v>29</v>
      </c>
      <c r="P7" s="57"/>
    </row>
    <row r="8" spans="1:16" ht="33.75" customHeight="1">
      <c r="A8" s="50"/>
      <c r="B8" s="58" t="s">
        <v>30</v>
      </c>
      <c r="C8" s="58" t="s">
        <v>31</v>
      </c>
      <c r="D8" s="52" t="s">
        <v>32</v>
      </c>
      <c r="E8" s="59" t="s">
        <v>33</v>
      </c>
      <c r="F8" s="108" t="s">
        <v>33</v>
      </c>
      <c r="G8" s="60" t="s">
        <v>33</v>
      </c>
      <c r="H8" s="52" t="s">
        <v>35</v>
      </c>
      <c r="I8" s="59" t="s">
        <v>36</v>
      </c>
      <c r="J8" s="60"/>
      <c r="K8" s="52"/>
      <c r="L8" s="109"/>
      <c r="M8" s="54" t="s">
        <v>38</v>
      </c>
      <c r="N8" s="54" t="s">
        <v>39</v>
      </c>
      <c r="O8" s="57"/>
      <c r="P8" s="57"/>
    </row>
    <row r="9" spans="1:16" ht="13.5" customHeight="1">
      <c r="A9" s="110">
        <v>40806</v>
      </c>
      <c r="B9" s="46">
        <v>8</v>
      </c>
      <c r="C9" s="46">
        <v>45</v>
      </c>
      <c r="D9" s="69">
        <v>15</v>
      </c>
      <c r="E9" s="70">
        <f>D9*$G$4</f>
        <v>58.78124999999999</v>
      </c>
      <c r="F9" s="111">
        <v>140</v>
      </c>
      <c r="G9" s="73">
        <f>F9-E9</f>
        <v>81.21875</v>
      </c>
      <c r="H9" s="74">
        <v>18</v>
      </c>
      <c r="I9" s="70">
        <f>E9/(H9/24)</f>
        <v>78.37499999999999</v>
      </c>
      <c r="J9" s="73"/>
      <c r="K9" s="69">
        <v>7</v>
      </c>
      <c r="L9" s="112">
        <f>($B$6-E9)/I9</f>
        <v>1.1638755980861246</v>
      </c>
      <c r="M9" s="71">
        <f>E9/K9/(H9/24)</f>
        <v>11.19642857142857</v>
      </c>
      <c r="N9" s="71">
        <f>(E9/E4)/K9/(H9/24)</f>
        <v>2.962018140589569</v>
      </c>
      <c r="O9" s="47" t="s">
        <v>64</v>
      </c>
      <c r="P9" s="47"/>
    </row>
    <row r="10" spans="1:16" ht="13.5" customHeight="1">
      <c r="A10" s="68">
        <v>40807</v>
      </c>
      <c r="B10" s="21">
        <v>8</v>
      </c>
      <c r="C10" s="21">
        <v>30</v>
      </c>
      <c r="D10" s="113">
        <v>32</v>
      </c>
      <c r="E10" s="70">
        <f>D10*$G$4+$E$5</f>
        <v>125.39999999999999</v>
      </c>
      <c r="F10" s="111">
        <v>140</v>
      </c>
      <c r="G10" s="73">
        <f>F10-E10</f>
        <v>14.600000000000009</v>
      </c>
      <c r="H10" s="74">
        <v>23.75</v>
      </c>
      <c r="I10" s="70">
        <f>E10/(H10/24)</f>
        <v>126.71999999999998</v>
      </c>
      <c r="J10" s="73"/>
      <c r="K10" s="69">
        <v>7</v>
      </c>
      <c r="L10" s="112">
        <f>($B$6-E10)/I10</f>
        <v>0.19412878787878796</v>
      </c>
      <c r="M10" s="71">
        <f>I10/K10</f>
        <v>18.10285714285714</v>
      </c>
      <c r="N10" s="71">
        <f>M10/$E$4</f>
        <v>4.7891156462585025</v>
      </c>
      <c r="O10" s="47" t="s">
        <v>65</v>
      </c>
      <c r="P10" s="47"/>
    </row>
    <row r="11" spans="1:16" ht="13.5" customHeight="1">
      <c r="A11" s="110">
        <v>40808</v>
      </c>
      <c r="B11" s="46">
        <v>8</v>
      </c>
      <c r="C11" s="46">
        <v>50</v>
      </c>
      <c r="D11" s="69">
        <v>22</v>
      </c>
      <c r="E11" s="70">
        <f>D11*$G$4+$E$5</f>
        <v>86.21249999999999</v>
      </c>
      <c r="F11" s="111">
        <v>140</v>
      </c>
      <c r="G11" s="73">
        <f>F11-E11</f>
        <v>53.78750000000001</v>
      </c>
      <c r="H11" s="21">
        <v>24.33</v>
      </c>
      <c r="I11" s="70">
        <f>E11/(H11/24)</f>
        <v>85.04315659679408</v>
      </c>
      <c r="J11" s="73"/>
      <c r="K11" s="21">
        <v>7</v>
      </c>
      <c r="L11" s="112">
        <f>($B$6-E11)/I11</f>
        <v>0.7500603523270989</v>
      </c>
      <c r="M11" s="71">
        <f>I11/K11</f>
        <v>12.149022370970583</v>
      </c>
      <c r="N11" s="71">
        <f>M11/$E$4</f>
        <v>3.21402708226735</v>
      </c>
      <c r="O11" s="47" t="s">
        <v>66</v>
      </c>
      <c r="P11" s="47"/>
    </row>
    <row r="12" spans="1:16" ht="13.5" customHeight="1">
      <c r="A12" s="68">
        <v>40808</v>
      </c>
      <c r="B12" s="21">
        <v>11</v>
      </c>
      <c r="C12" s="21">
        <v>50</v>
      </c>
      <c r="D12" s="21">
        <v>5</v>
      </c>
      <c r="E12" s="70">
        <f>D12*$G$4+$E$5</f>
        <v>19.59375</v>
      </c>
      <c r="F12" s="111">
        <v>140</v>
      </c>
      <c r="G12" s="73">
        <f>F12-E12</f>
        <v>120.40625</v>
      </c>
      <c r="H12" s="21">
        <v>3</v>
      </c>
      <c r="I12" s="70">
        <f>E12/(H12/24)</f>
        <v>156.75</v>
      </c>
      <c r="J12" s="73"/>
      <c r="K12" s="21">
        <v>7</v>
      </c>
      <c r="L12" s="112">
        <f>($B$6-E12)/I12</f>
        <v>0.8319377990430622</v>
      </c>
      <c r="M12" s="71">
        <f>I12/K12</f>
        <v>22.392857142857142</v>
      </c>
      <c r="N12" s="71">
        <f>M12/$E$4</f>
        <v>5.924036281179139</v>
      </c>
      <c r="O12" s="47" t="s">
        <v>67</v>
      </c>
      <c r="P12" s="47"/>
    </row>
    <row r="13" spans="1:16" ht="13.5" customHeight="1">
      <c r="A13" s="68">
        <v>40809</v>
      </c>
      <c r="B13" s="21">
        <v>9</v>
      </c>
      <c r="C13" s="21">
        <v>20</v>
      </c>
      <c r="D13" s="21">
        <v>10</v>
      </c>
      <c r="E13" s="70">
        <f>D13*$G$4+$E$5</f>
        <v>39.1875</v>
      </c>
      <c r="F13" s="111">
        <v>140</v>
      </c>
      <c r="G13" s="73">
        <f>F13-E13</f>
        <v>100.8125</v>
      </c>
      <c r="H13" s="21">
        <v>21.3</v>
      </c>
      <c r="I13" s="70">
        <f>E13/(H13/24)</f>
        <v>44.154929577464785</v>
      </c>
      <c r="J13" s="73"/>
      <c r="K13" s="21">
        <v>6</v>
      </c>
      <c r="L13" s="112">
        <f>($B$6-E13)/I13</f>
        <v>2.5096291866028713</v>
      </c>
      <c r="M13" s="71">
        <f>I13/K13</f>
        <v>7.359154929577464</v>
      </c>
      <c r="N13" s="71">
        <f>M13/$E$4</f>
        <v>1.9468663834861017</v>
      </c>
      <c r="O13" s="47" t="s">
        <v>68</v>
      </c>
      <c r="P13" s="47"/>
    </row>
    <row r="14" spans="1:16" ht="13.5" customHeight="1">
      <c r="A14" s="68">
        <v>40810</v>
      </c>
      <c r="B14" s="21">
        <v>9</v>
      </c>
      <c r="C14" s="21">
        <v>20</v>
      </c>
      <c r="D14" s="21">
        <v>29</v>
      </c>
      <c r="E14" s="70">
        <f>D14*$G$4+$E$5</f>
        <v>113.64375</v>
      </c>
      <c r="F14" s="111">
        <v>140</v>
      </c>
      <c r="G14" s="73">
        <f>F14-E14</f>
        <v>26.356250000000003</v>
      </c>
      <c r="H14" s="21">
        <v>24</v>
      </c>
      <c r="I14" s="70">
        <f>E14/(H14/24)</f>
        <v>113.64375</v>
      </c>
      <c r="J14" s="73"/>
      <c r="K14" s="21">
        <v>6</v>
      </c>
      <c r="L14" s="112">
        <f>($B$6-E14)/I14</f>
        <v>0.3199142055766376</v>
      </c>
      <c r="M14" s="71">
        <f>I14/K14</f>
        <v>18.940625</v>
      </c>
      <c r="N14" s="71">
        <f>M14/$E$4</f>
        <v>5.010747354497355</v>
      </c>
      <c r="O14" s="47" t="s">
        <v>69</v>
      </c>
      <c r="P14" s="47"/>
    </row>
    <row r="15" spans="1:16" ht="13.5" customHeight="1">
      <c r="A15" s="68">
        <v>40811</v>
      </c>
      <c r="B15" s="21">
        <v>8</v>
      </c>
      <c r="C15" s="21">
        <v>58</v>
      </c>
      <c r="D15" s="21">
        <v>22</v>
      </c>
      <c r="E15" s="70">
        <f>D15*$G$4+$E$5</f>
        <v>86.21249999999999</v>
      </c>
      <c r="F15" s="111">
        <v>140</v>
      </c>
      <c r="G15" s="73">
        <f>F15-E15</f>
        <v>53.78750000000001</v>
      </c>
      <c r="H15" s="21">
        <v>23.66</v>
      </c>
      <c r="I15" s="70">
        <f>E15/(H15/24)</f>
        <v>87.45139475908705</v>
      </c>
      <c r="J15" s="73"/>
      <c r="K15" s="21">
        <v>6.5</v>
      </c>
      <c r="L15" s="112">
        <f>($B$6-E15)/I15</f>
        <v>0.7294051761635496</v>
      </c>
      <c r="M15" s="71">
        <f>I15/K15</f>
        <v>13.454060732167239</v>
      </c>
      <c r="N15" s="71">
        <f>M15/$E$4</f>
        <v>3.559275325970169</v>
      </c>
      <c r="O15" s="47" t="s">
        <v>70</v>
      </c>
      <c r="P15" s="47"/>
    </row>
    <row r="16" spans="1:16" ht="13.5" customHeight="1">
      <c r="A16" s="68">
        <v>40811</v>
      </c>
      <c r="B16" s="21">
        <v>18</v>
      </c>
      <c r="C16" s="21">
        <v>37</v>
      </c>
      <c r="D16" s="21">
        <v>7</v>
      </c>
      <c r="E16" s="70">
        <f>D16*$G$4+$E$5</f>
        <v>27.43125</v>
      </c>
      <c r="F16" s="111">
        <v>140</v>
      </c>
      <c r="G16" s="73">
        <f>F16-E16</f>
        <v>112.56875</v>
      </c>
      <c r="H16" s="21">
        <v>12</v>
      </c>
      <c r="I16" s="70">
        <f>E16/(H16/24)</f>
        <v>54.8625</v>
      </c>
      <c r="J16" s="73"/>
      <c r="K16" s="21">
        <v>6</v>
      </c>
      <c r="L16" s="112">
        <f>($B$6-E16)/I16</f>
        <v>2.234107997265892</v>
      </c>
      <c r="M16" s="71">
        <f>I16/K16</f>
        <v>9.143749999999999</v>
      </c>
      <c r="N16" s="71">
        <f>M16/$E$4</f>
        <v>2.4189814814814814</v>
      </c>
      <c r="O16" s="47" t="s">
        <v>71</v>
      </c>
      <c r="P16" s="47"/>
    </row>
    <row r="17" spans="1:16" ht="13.5" customHeight="1">
      <c r="A17" s="68">
        <v>40812</v>
      </c>
      <c r="B17" s="21">
        <v>8</v>
      </c>
      <c r="C17" s="21">
        <v>40</v>
      </c>
      <c r="D17" s="21">
        <v>11</v>
      </c>
      <c r="E17" s="70">
        <f>D17*$G$4+$E$5</f>
        <v>43.106249999999996</v>
      </c>
      <c r="F17" s="111">
        <v>140</v>
      </c>
      <c r="G17" s="73">
        <f>F17-E17</f>
        <v>96.89375000000001</v>
      </c>
      <c r="H17" s="21">
        <v>14</v>
      </c>
      <c r="I17" s="70">
        <f>E17/(H17/24)</f>
        <v>73.89642857142856</v>
      </c>
      <c r="J17" s="73"/>
      <c r="K17" s="21">
        <v>6</v>
      </c>
      <c r="L17" s="112">
        <f>($B$6-E17)/I17</f>
        <v>1.4465347252428595</v>
      </c>
      <c r="M17" s="71">
        <f>I17/K17</f>
        <v>12.316071428571426</v>
      </c>
      <c r="N17" s="71">
        <f>M17/$E$4</f>
        <v>3.2582199546485255</v>
      </c>
      <c r="O17" s="47"/>
      <c r="P17" s="47"/>
    </row>
    <row r="18" spans="1:16" ht="13.5" customHeight="1">
      <c r="A18" s="68">
        <v>40813</v>
      </c>
      <c r="B18" s="21">
        <v>8</v>
      </c>
      <c r="C18" s="21">
        <v>35</v>
      </c>
      <c r="D18" s="21">
        <v>22</v>
      </c>
      <c r="E18" s="70">
        <f>D18*$G$4+$E$5</f>
        <v>86.21249999999999</v>
      </c>
      <c r="F18" s="111">
        <v>140</v>
      </c>
      <c r="G18" s="73">
        <f>F18-E18</f>
        <v>53.78750000000001</v>
      </c>
      <c r="H18" s="21">
        <v>23.15</v>
      </c>
      <c r="I18" s="70">
        <f>E18/(H18/24)</f>
        <v>89.37796976241901</v>
      </c>
      <c r="J18" s="73"/>
      <c r="K18" s="21">
        <v>7</v>
      </c>
      <c r="L18" s="112">
        <f>($B$6-E18)/I18</f>
        <v>0.7136825793823401</v>
      </c>
      <c r="M18" s="71">
        <f>I18/K18</f>
        <v>12.768281394631288</v>
      </c>
      <c r="N18" s="71">
        <f>M18/$E$4</f>
        <v>3.377852220801928</v>
      </c>
      <c r="O18" s="47" t="s">
        <v>72</v>
      </c>
      <c r="P18" s="47"/>
    </row>
    <row r="19" spans="1:16" ht="13.5" customHeight="1">
      <c r="A19" s="68">
        <v>40814</v>
      </c>
      <c r="B19" s="21">
        <v>9</v>
      </c>
      <c r="C19" s="21">
        <v>5</v>
      </c>
      <c r="D19" s="21">
        <v>23</v>
      </c>
      <c r="E19" s="70">
        <f>D19*$G$4+$E$5</f>
        <v>90.13125</v>
      </c>
      <c r="F19" s="111">
        <v>140</v>
      </c>
      <c r="G19" s="73">
        <f>F19-E19</f>
        <v>49.868750000000006</v>
      </c>
      <c r="H19" s="21">
        <v>24.5</v>
      </c>
      <c r="I19" s="70">
        <f>E19/(H19/24)</f>
        <v>88.29183673469387</v>
      </c>
      <c r="J19" s="73"/>
      <c r="K19" s="21">
        <v>8</v>
      </c>
      <c r="L19" s="112">
        <f>($B$6-E19)/I19</f>
        <v>0.6780779765619583</v>
      </c>
      <c r="M19" s="71">
        <f>I19/K19</f>
        <v>11.036479591836734</v>
      </c>
      <c r="N19" s="71">
        <f>M19/$E$4</f>
        <v>2.919703595724004</v>
      </c>
      <c r="O19" s="47" t="s">
        <v>42</v>
      </c>
      <c r="P19" s="47"/>
    </row>
    <row r="20" spans="1:16" ht="13.5" customHeight="1">
      <c r="A20" s="68">
        <v>40817</v>
      </c>
      <c r="B20" s="21">
        <v>13</v>
      </c>
      <c r="C20" s="21">
        <v>44</v>
      </c>
      <c r="D20" s="21">
        <v>17</v>
      </c>
      <c r="E20" s="70">
        <f>D20*$G$4+$E$5</f>
        <v>66.61874999999999</v>
      </c>
      <c r="F20" s="111">
        <v>140</v>
      </c>
      <c r="G20" s="73">
        <f>F20-E20</f>
        <v>73.38125000000001</v>
      </c>
      <c r="H20" s="21">
        <f>((B20+C20)+(B19+C19))/60+72</f>
        <v>73.18333333333334</v>
      </c>
      <c r="I20" s="70">
        <f>E20/(H20/24)</f>
        <v>21.8471874288317</v>
      </c>
      <c r="J20" s="73"/>
      <c r="K20" s="21">
        <v>6</v>
      </c>
      <c r="L20" s="112">
        <f>($B$6-E20)/I20</f>
        <v>3.816566790192952</v>
      </c>
      <c r="M20" s="71">
        <f>I20/K20</f>
        <v>3.641197904805283</v>
      </c>
      <c r="N20" s="71">
        <f>M20/$E$4</f>
        <v>0.9632798689961067</v>
      </c>
      <c r="O20" s="47"/>
      <c r="P20" s="47"/>
    </row>
    <row r="21" spans="1:16" ht="13.5" customHeight="1">
      <c r="A21" s="68">
        <v>40818</v>
      </c>
      <c r="B21" s="21">
        <v>8</v>
      </c>
      <c r="C21" s="21">
        <v>25</v>
      </c>
      <c r="D21" s="21">
        <v>20</v>
      </c>
      <c r="E21" s="70">
        <f>D21*$G$4+$E$5</f>
        <v>78.375</v>
      </c>
      <c r="F21" s="111">
        <v>140</v>
      </c>
      <c r="G21" s="73">
        <f>F21-E21</f>
        <v>61.625</v>
      </c>
      <c r="H21" s="114">
        <v>19.19</v>
      </c>
      <c r="I21" s="70">
        <f>E21/(H21/24)</f>
        <v>98.01980198019801</v>
      </c>
      <c r="J21" s="71"/>
      <c r="K21" s="114">
        <v>7</v>
      </c>
      <c r="L21" s="112">
        <f>($B$6-E21)/I21</f>
        <v>0.7307196969696971</v>
      </c>
      <c r="M21" s="71">
        <f>I21/K21</f>
        <v>14.002828854314002</v>
      </c>
      <c r="N21" s="71">
        <f>M21/$E$4</f>
        <v>3.7044520778608474</v>
      </c>
      <c r="O21" s="47" t="s">
        <v>73</v>
      </c>
      <c r="P21" s="47"/>
    </row>
    <row r="22" spans="1:16" ht="13.5" customHeight="1">
      <c r="A22" s="68">
        <v>40819</v>
      </c>
      <c r="B22" s="21">
        <v>8</v>
      </c>
      <c r="C22" s="21">
        <v>25</v>
      </c>
      <c r="D22" s="21">
        <v>26</v>
      </c>
      <c r="E22" s="70">
        <f>D22*$G$4+$E$5</f>
        <v>101.88749999999999</v>
      </c>
      <c r="F22" s="111">
        <v>140</v>
      </c>
      <c r="G22" s="73">
        <f>F22-E22</f>
        <v>38.11250000000001</v>
      </c>
      <c r="H22" s="21">
        <v>24</v>
      </c>
      <c r="I22" s="70">
        <f>E22/(H22/24)</f>
        <v>101.88749999999999</v>
      </c>
      <c r="J22" s="73"/>
      <c r="K22" s="21">
        <v>6</v>
      </c>
      <c r="L22" s="112">
        <f>($B$6-E22)/I22</f>
        <v>0.47221199852778817</v>
      </c>
      <c r="M22" s="71">
        <f>I22/K22</f>
        <v>16.98125</v>
      </c>
      <c r="N22" s="71">
        <f>M22/$E$4</f>
        <v>4.4923941798941796</v>
      </c>
      <c r="O22" s="47"/>
      <c r="P22" s="47"/>
    </row>
    <row r="23" spans="1:16" ht="13.5" customHeight="1">
      <c r="A23" s="68">
        <v>40820</v>
      </c>
      <c r="B23" s="21">
        <v>8</v>
      </c>
      <c r="C23" s="21">
        <v>40</v>
      </c>
      <c r="D23" s="21">
        <v>17</v>
      </c>
      <c r="E23" s="70">
        <f>D23*$G$4+$E$5</f>
        <v>66.61874999999999</v>
      </c>
      <c r="F23" s="111">
        <v>140</v>
      </c>
      <c r="G23" s="73">
        <f>F23-E23</f>
        <v>73.38125000000001</v>
      </c>
      <c r="H23" s="21">
        <v>24</v>
      </c>
      <c r="I23" s="70">
        <f>E23/(H23/24)</f>
        <v>66.61874999999999</v>
      </c>
      <c r="J23" s="73"/>
      <c r="K23" s="21">
        <v>6</v>
      </c>
      <c r="L23" s="112">
        <f>($B$6-E23)/I23</f>
        <v>1.2516183506895584</v>
      </c>
      <c r="M23" s="71">
        <f>I23/K23</f>
        <v>11.103124999999999</v>
      </c>
      <c r="N23" s="71">
        <f>M23/$E$4</f>
        <v>2.937334656084656</v>
      </c>
      <c r="O23" s="47" t="s">
        <v>74</v>
      </c>
      <c r="P23" s="47"/>
    </row>
    <row r="24" spans="1:16" ht="13.5" customHeight="1">
      <c r="A24" s="68">
        <v>40821</v>
      </c>
      <c r="B24" s="21">
        <v>8</v>
      </c>
      <c r="C24" s="21">
        <v>45</v>
      </c>
      <c r="D24" s="21">
        <v>27</v>
      </c>
      <c r="E24" s="70">
        <f>D24*$G$4+$E$5</f>
        <v>105.80624999999999</v>
      </c>
      <c r="F24" s="111">
        <v>140</v>
      </c>
      <c r="G24" s="73">
        <f>F24-E24</f>
        <v>34.19375000000001</v>
      </c>
      <c r="H24" s="21">
        <v>24.5</v>
      </c>
      <c r="I24" s="70">
        <f>E24/(H24/24)</f>
        <v>103.64693877551021</v>
      </c>
      <c r="J24" s="73"/>
      <c r="K24" s="21">
        <v>6</v>
      </c>
      <c r="L24" s="112">
        <f>($B$6-E24)/I24</f>
        <v>0.4263874121330262</v>
      </c>
      <c r="M24" s="71">
        <f>I24/K24</f>
        <v>17.274489795918367</v>
      </c>
      <c r="N24" s="71">
        <f>M24/$E$4</f>
        <v>4.569970845481049</v>
      </c>
      <c r="O24" s="47" t="s">
        <v>75</v>
      </c>
      <c r="P24" s="47"/>
    </row>
    <row r="25" spans="1:16" ht="13.5" customHeight="1">
      <c r="A25" s="68">
        <v>40821</v>
      </c>
      <c r="B25" s="21">
        <v>5</v>
      </c>
      <c r="C25" s="21">
        <v>15</v>
      </c>
      <c r="D25" s="21">
        <v>7</v>
      </c>
      <c r="E25" s="70">
        <f>D25*$G$4+$E$5</f>
        <v>27.43125</v>
      </c>
      <c r="F25" s="111">
        <v>141</v>
      </c>
      <c r="G25" s="73">
        <f>F25-E25</f>
        <v>113.56875</v>
      </c>
      <c r="H25" s="21">
        <v>8.5</v>
      </c>
      <c r="I25" s="70">
        <f>E25/(H25/24)</f>
        <v>77.45294117647057</v>
      </c>
      <c r="J25" s="73"/>
      <c r="K25" s="21">
        <v>6</v>
      </c>
      <c r="L25" s="112">
        <f>($B$6-E25)/I25</f>
        <v>1.5824931647300071</v>
      </c>
      <c r="M25" s="71">
        <f>I25/K25</f>
        <v>12.908823529411762</v>
      </c>
      <c r="N25" s="71">
        <f>M25/$E$4</f>
        <v>3.4150326797385615</v>
      </c>
      <c r="O25" s="47"/>
      <c r="P25" s="47"/>
    </row>
    <row r="26" spans="1:16" ht="13.5" customHeight="1">
      <c r="A26" s="68">
        <v>40822</v>
      </c>
      <c r="B26" s="21">
        <v>8</v>
      </c>
      <c r="C26" s="21">
        <v>22</v>
      </c>
      <c r="D26" s="21">
        <v>18</v>
      </c>
      <c r="E26" s="70">
        <f>D26*$G$4+$E$5</f>
        <v>70.5375</v>
      </c>
      <c r="F26" s="111">
        <v>140</v>
      </c>
      <c r="G26" s="73">
        <f>F26-E26</f>
        <v>69.4625</v>
      </c>
      <c r="H26" s="21">
        <v>15</v>
      </c>
      <c r="I26" s="70">
        <f>E26/(H26/24)</f>
        <v>112.85999999999999</v>
      </c>
      <c r="J26" s="73"/>
      <c r="K26" s="21">
        <v>6.25</v>
      </c>
      <c r="L26" s="112">
        <f>($B$6-E26)/I26</f>
        <v>0.7040802764486976</v>
      </c>
      <c r="M26" s="71">
        <f>I26/K26</f>
        <v>18.057599999999997</v>
      </c>
      <c r="N26" s="71">
        <f>M26/$E$4</f>
        <v>4.777142857142857</v>
      </c>
      <c r="O26" s="47" t="s">
        <v>76</v>
      </c>
      <c r="P26" s="47"/>
    </row>
    <row r="27" spans="1:16" ht="13.5" customHeight="1">
      <c r="A27" s="68">
        <v>40823</v>
      </c>
      <c r="B27" s="21">
        <v>8</v>
      </c>
      <c r="C27" s="21">
        <v>20</v>
      </c>
      <c r="D27" s="21">
        <v>23</v>
      </c>
      <c r="E27" s="70">
        <f>D27*$G$4+$E$5</f>
        <v>90.13125</v>
      </c>
      <c r="F27" s="111">
        <v>140</v>
      </c>
      <c r="G27" s="73">
        <f>F27-E27</f>
        <v>49.868750000000006</v>
      </c>
      <c r="H27" s="21">
        <v>24</v>
      </c>
      <c r="I27" s="70">
        <f>E27/(H27/24)</f>
        <v>90.13125</v>
      </c>
      <c r="J27" s="73"/>
      <c r="K27" s="21">
        <v>6</v>
      </c>
      <c r="L27" s="112">
        <f>($B$6-E27)/I27</f>
        <v>0.6642396505096735</v>
      </c>
      <c r="M27" s="71">
        <f>I27/K27</f>
        <v>15.021875</v>
      </c>
      <c r="N27" s="71">
        <f>M27/$E$4</f>
        <v>3.9740410052910056</v>
      </c>
      <c r="O27" s="47"/>
      <c r="P27" s="47"/>
    </row>
    <row r="28" spans="1:16" ht="13.5" customHeight="1">
      <c r="A28" s="68">
        <v>40824</v>
      </c>
      <c r="B28" s="21">
        <v>8</v>
      </c>
      <c r="C28" s="21">
        <v>30</v>
      </c>
      <c r="D28" s="21">
        <v>15</v>
      </c>
      <c r="E28" s="70">
        <f>D28*$G$4+$E$5</f>
        <v>58.78124999999999</v>
      </c>
      <c r="F28" s="111">
        <v>140</v>
      </c>
      <c r="G28" s="73">
        <f>F28-E28</f>
        <v>81.21875</v>
      </c>
      <c r="H28" s="21">
        <v>24.16</v>
      </c>
      <c r="I28" s="70">
        <f>E28/(H28/24)</f>
        <v>58.391970198675494</v>
      </c>
      <c r="J28" s="73"/>
      <c r="K28" s="21">
        <v>6</v>
      </c>
      <c r="L28" s="112">
        <f>($B$6-E28)/I28</f>
        <v>1.562179691653376</v>
      </c>
      <c r="M28" s="71">
        <f>I28/K28</f>
        <v>9.731995033112582</v>
      </c>
      <c r="N28" s="71">
        <f>M28/$E$4</f>
        <v>2.5746018606117946</v>
      </c>
      <c r="O28" s="47" t="s">
        <v>74</v>
      </c>
      <c r="P28" s="47"/>
    </row>
    <row r="29" spans="1:16" ht="13.5" customHeight="1">
      <c r="A29" s="68">
        <v>40825</v>
      </c>
      <c r="B29" s="21">
        <v>8</v>
      </c>
      <c r="C29" s="21">
        <v>15</v>
      </c>
      <c r="D29" s="21">
        <v>22</v>
      </c>
      <c r="E29" s="70">
        <f>D29*$G$4+$E$5</f>
        <v>86.21249999999999</v>
      </c>
      <c r="F29" s="111">
        <v>140</v>
      </c>
      <c r="G29" s="73">
        <f>F29-E29</f>
        <v>53.78750000000001</v>
      </c>
      <c r="H29" s="21">
        <v>24</v>
      </c>
      <c r="I29" s="70">
        <f>E29/(H29/24)</f>
        <v>86.21249999999999</v>
      </c>
      <c r="J29" s="73"/>
      <c r="K29" s="21">
        <v>7</v>
      </c>
      <c r="L29" s="112">
        <f>($B$6-E29)/I29</f>
        <v>0.7398869073510224</v>
      </c>
      <c r="M29" s="71">
        <f>I29/K29</f>
        <v>12.316071428571428</v>
      </c>
      <c r="N29" s="71">
        <f>M29/$E$4</f>
        <v>3.258219954648526</v>
      </c>
      <c r="O29" s="47"/>
      <c r="P29" s="47"/>
    </row>
    <row r="30" spans="1:16" ht="13.5" customHeight="1">
      <c r="A30" s="68">
        <v>40825</v>
      </c>
      <c r="B30" s="21">
        <v>11</v>
      </c>
      <c r="C30" s="21">
        <v>20</v>
      </c>
      <c r="D30" s="21">
        <v>2</v>
      </c>
      <c r="E30" s="70">
        <f>D30*$G$4+$E$5</f>
        <v>7.8374999999999995</v>
      </c>
      <c r="F30" s="111">
        <v>140</v>
      </c>
      <c r="G30" s="73">
        <f>F30-E30</f>
        <v>132.1625</v>
      </c>
      <c r="H30" s="21">
        <v>3</v>
      </c>
      <c r="I30" s="70">
        <f>E30/(H30/24)</f>
        <v>62.699999999999996</v>
      </c>
      <c r="J30" s="73"/>
      <c r="K30" s="21">
        <v>7</v>
      </c>
      <c r="L30" s="112">
        <f>($B$6-E30)/I30</f>
        <v>2.2673444976076556</v>
      </c>
      <c r="M30" s="71">
        <f>I30/K30</f>
        <v>8.957142857142857</v>
      </c>
      <c r="N30" s="71">
        <f>M30/$E$4</f>
        <v>2.3696145124716557</v>
      </c>
      <c r="O30" s="47" t="s">
        <v>77</v>
      </c>
      <c r="P30" s="47"/>
    </row>
    <row r="31" spans="1:16" ht="13.5" customHeight="1">
      <c r="A31" s="68">
        <v>40826</v>
      </c>
      <c r="B31" s="21">
        <v>8</v>
      </c>
      <c r="C31" s="21">
        <v>57</v>
      </c>
      <c r="D31" s="21">
        <v>22</v>
      </c>
      <c r="E31" s="70">
        <f>D31*$G$4+$E$5</f>
        <v>86.21249999999999</v>
      </c>
      <c r="F31" s="111">
        <v>140</v>
      </c>
      <c r="G31" s="73">
        <f>F31-E31</f>
        <v>53.78750000000001</v>
      </c>
      <c r="H31" s="21">
        <v>20.37</v>
      </c>
      <c r="I31" s="70">
        <f>E31/(H31/24)</f>
        <v>101.57584683357878</v>
      </c>
      <c r="J31" s="73"/>
      <c r="K31" s="21">
        <v>7</v>
      </c>
      <c r="L31" s="112">
        <f>($B$6-E31)/I31</f>
        <v>0.6279790126141802</v>
      </c>
      <c r="M31" s="71">
        <f>I31/K31</f>
        <v>14.510835261939826</v>
      </c>
      <c r="N31" s="71">
        <f>M31/$E$4</f>
        <v>3.8388453073914888</v>
      </c>
      <c r="O31" s="47"/>
      <c r="P31" s="47"/>
    </row>
    <row r="32" spans="1:16" ht="13.5" customHeight="1">
      <c r="A32" s="68">
        <v>40827</v>
      </c>
      <c r="B32" s="21">
        <v>8</v>
      </c>
      <c r="C32" s="21">
        <v>15</v>
      </c>
      <c r="D32" s="21">
        <v>23</v>
      </c>
      <c r="E32" s="70">
        <f>D32*$G$4+$E$5</f>
        <v>90.13125</v>
      </c>
      <c r="F32" s="111">
        <v>140</v>
      </c>
      <c r="G32" s="73">
        <f>F32-E32</f>
        <v>49.868750000000006</v>
      </c>
      <c r="H32" s="21">
        <v>24.75</v>
      </c>
      <c r="I32" s="70">
        <f>E32/(H32/24)</f>
        <v>87.39999999999999</v>
      </c>
      <c r="J32" s="73"/>
      <c r="K32" s="21">
        <v>7</v>
      </c>
      <c r="L32" s="112">
        <f>($B$6-E32)/I32</f>
        <v>0.6849971395881008</v>
      </c>
      <c r="M32" s="71">
        <f>I32/K32</f>
        <v>12.485714285714284</v>
      </c>
      <c r="N32" s="71">
        <f>M32/$E$4</f>
        <v>3.3030990173847314</v>
      </c>
      <c r="O32" s="47"/>
      <c r="P32" s="47"/>
    </row>
    <row r="33" spans="1:16" ht="13.5" customHeight="1">
      <c r="A33" s="68"/>
      <c r="B33" s="21"/>
      <c r="C33" s="21"/>
      <c r="D33" s="21"/>
      <c r="E33" s="70">
        <f>D33*$G$4+$E$5</f>
        <v>0</v>
      </c>
      <c r="F33" s="111">
        <v>140</v>
      </c>
      <c r="G33" s="73">
        <f>F33-E33</f>
        <v>140</v>
      </c>
      <c r="H33" s="21"/>
      <c r="I33" s="70" t="e">
        <f>E33/(H33/24)</f>
        <v>#DIV/0!</v>
      </c>
      <c r="J33" s="73"/>
      <c r="K33" s="21"/>
      <c r="L33" s="112" t="e">
        <f>($B$6-E33)/I33</f>
        <v>#DIV/0!</v>
      </c>
      <c r="M33" s="71" t="e">
        <f>I33/K33</f>
        <v>#DIV/0!</v>
      </c>
      <c r="N33" s="71" t="e">
        <f>M33/$E$4</f>
        <v>#DIV/0!</v>
      </c>
      <c r="O33" s="47"/>
      <c r="P33" s="47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Roman,Regular"&amp;12Sewage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="60" zoomScaleNormal="60" workbookViewId="0" topLeftCell="H1">
      <pane ySplit="10" topLeftCell="A12" activePane="bottomLeft" state="frozen"/>
      <selection pane="topLeft" activeCell="H1" sqref="H1"/>
      <selection pane="bottomLeft" activeCell="N29" sqref="N29"/>
    </sheetView>
  </sheetViews>
  <sheetFormatPr defaultColWidth="10.3984375" defaultRowHeight="19.5" customHeight="1"/>
  <cols>
    <col min="1" max="1" width="10.69921875" style="1" customWidth="1"/>
    <col min="2" max="2" width="15.19921875" style="1" customWidth="1"/>
    <col min="3" max="3" width="13.3984375" style="1" customWidth="1"/>
    <col min="4" max="4" width="13.69921875" style="1" customWidth="1"/>
    <col min="5" max="5" width="25.09765625" style="1" customWidth="1"/>
    <col min="6" max="6" width="13.69921875" style="1" customWidth="1"/>
    <col min="7" max="7" width="17.8984375" style="1" customWidth="1"/>
    <col min="8" max="8" width="8.5" style="1" customWidth="1"/>
    <col min="9" max="9" width="17" style="1" customWidth="1"/>
    <col min="10" max="11" width="13.19921875" style="1" customWidth="1"/>
    <col min="12" max="13" width="11.19921875" style="1" customWidth="1"/>
    <col min="14" max="14" width="26.09765625" style="1" customWidth="1"/>
    <col min="15" max="16" width="13" style="1" customWidth="1"/>
    <col min="17" max="17" width="34.69921875" style="1" customWidth="1"/>
    <col min="18" max="16384" width="10.19921875" style="1" customWidth="1"/>
  </cols>
  <sheetData>
    <row r="1" spans="1:17" ht="13.5" customHeight="1">
      <c r="A1" s="115" t="s">
        <v>78</v>
      </c>
      <c r="B1" s="116"/>
      <c r="C1" s="47"/>
      <c r="D1" s="47"/>
      <c r="E1" s="47"/>
      <c r="F1" s="47"/>
      <c r="G1" s="47"/>
      <c r="H1" s="47"/>
      <c r="I1" s="47" t="s">
        <v>79</v>
      </c>
      <c r="J1" s="47"/>
      <c r="K1" s="47"/>
      <c r="L1" s="47"/>
      <c r="M1" s="47"/>
      <c r="N1" s="47"/>
      <c r="O1" s="47"/>
      <c r="P1" s="47"/>
      <c r="Q1" s="47"/>
    </row>
    <row r="2" spans="1:17" ht="13.5" customHeight="1">
      <c r="A2" s="115"/>
      <c r="B2" s="116"/>
      <c r="C2" s="47"/>
      <c r="D2" s="47"/>
      <c r="E2" s="65" t="s">
        <v>80</v>
      </c>
      <c r="F2" s="117">
        <v>330</v>
      </c>
      <c r="G2" s="47" t="s">
        <v>54</v>
      </c>
      <c r="H2" s="47"/>
      <c r="I2" s="71">
        <f>(87.3/1.1)*6</f>
        <v>476.18181818181813</v>
      </c>
      <c r="J2" s="71"/>
      <c r="K2" s="71"/>
      <c r="L2" s="47"/>
      <c r="M2" s="47"/>
      <c r="N2" s="47" t="s">
        <v>81</v>
      </c>
      <c r="O2" s="47"/>
      <c r="P2" s="47"/>
      <c r="Q2" s="47"/>
    </row>
    <row r="3" spans="1:17" ht="13.5" customHeight="1">
      <c r="A3" s="115" t="s">
        <v>82</v>
      </c>
      <c r="B3" s="118"/>
      <c r="C3" s="47"/>
      <c r="D3" s="47"/>
      <c r="E3" s="9"/>
      <c r="F3" s="119">
        <f>F2/3.78</f>
        <v>87.30158730158729</v>
      </c>
      <c r="G3" s="5" t="s">
        <v>83</v>
      </c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3.5" customHeight="1">
      <c r="A4" s="120" t="s">
        <v>84</v>
      </c>
      <c r="B4" s="121">
        <v>48</v>
      </c>
      <c r="C4" s="5" t="s">
        <v>85</v>
      </c>
      <c r="D4" s="47"/>
      <c r="E4" s="47"/>
      <c r="F4" s="122">
        <v>92</v>
      </c>
      <c r="G4" s="71">
        <f>F4*0.7171</f>
        <v>65.9732</v>
      </c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3.5" customHeight="1">
      <c r="A5" s="120" t="s">
        <v>86</v>
      </c>
      <c r="B5" s="121">
        <v>1.1</v>
      </c>
      <c r="C5" s="5" t="s">
        <v>87</v>
      </c>
      <c r="D5" s="47"/>
      <c r="E5" s="47" t="s">
        <v>88</v>
      </c>
      <c r="F5" s="123">
        <v>6</v>
      </c>
      <c r="G5" s="47" t="s">
        <v>89</v>
      </c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3.5" customHeight="1">
      <c r="A6" s="115"/>
      <c r="B6" s="124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3.5" customHeight="1">
      <c r="A7" s="115"/>
      <c r="B7" s="11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3.5" customHeight="1">
      <c r="A8" s="115"/>
      <c r="B8" s="116"/>
      <c r="C8" s="94"/>
      <c r="D8" s="94"/>
      <c r="E8" s="47"/>
      <c r="F8" s="47"/>
      <c r="G8" s="47"/>
      <c r="H8" s="47"/>
      <c r="I8" s="47"/>
      <c r="J8" s="47"/>
      <c r="K8" s="47"/>
      <c r="L8" s="47"/>
      <c r="M8" s="94"/>
      <c r="N8" s="125" t="s">
        <v>90</v>
      </c>
      <c r="O8" s="125"/>
      <c r="P8" s="47"/>
      <c r="Q8" s="47"/>
    </row>
    <row r="9" spans="1:20" ht="50.25" customHeight="1">
      <c r="A9" s="115" t="s">
        <v>18</v>
      </c>
      <c r="B9" s="126" t="s">
        <v>57</v>
      </c>
      <c r="C9" s="127" t="s">
        <v>91</v>
      </c>
      <c r="D9" s="128" t="s">
        <v>92</v>
      </c>
      <c r="E9" s="127" t="s">
        <v>93</v>
      </c>
      <c r="F9" s="129" t="s">
        <v>94</v>
      </c>
      <c r="G9" s="129"/>
      <c r="H9" s="130" t="s">
        <v>95</v>
      </c>
      <c r="I9" s="85" t="s">
        <v>96</v>
      </c>
      <c r="J9" s="85" t="s">
        <v>97</v>
      </c>
      <c r="K9" s="85" t="s">
        <v>98</v>
      </c>
      <c r="L9" s="131" t="s">
        <v>99</v>
      </c>
      <c r="M9" s="85" t="s">
        <v>100</v>
      </c>
      <c r="N9" s="85" t="s">
        <v>101</v>
      </c>
      <c r="O9" s="85" t="s">
        <v>102</v>
      </c>
      <c r="P9" s="132" t="s">
        <v>103</v>
      </c>
      <c r="Q9" s="51" t="s">
        <v>104</v>
      </c>
      <c r="R9" s="133" t="s">
        <v>105</v>
      </c>
      <c r="S9" s="5"/>
      <c r="T9" s="85" t="s">
        <v>29</v>
      </c>
    </row>
    <row r="10" spans="1:20" ht="13.5" customHeight="1">
      <c r="A10" s="115"/>
      <c r="B10" s="126"/>
      <c r="C10" s="128" t="s">
        <v>106</v>
      </c>
      <c r="D10" s="128" t="s">
        <v>107</v>
      </c>
      <c r="E10" s="128" t="s">
        <v>106</v>
      </c>
      <c r="F10" s="51" t="s">
        <v>108</v>
      </c>
      <c r="G10" s="51" t="s">
        <v>109</v>
      </c>
      <c r="H10" s="59" t="s">
        <v>110</v>
      </c>
      <c r="I10" s="57" t="s">
        <v>111</v>
      </c>
      <c r="J10" s="57" t="s">
        <v>110</v>
      </c>
      <c r="K10" s="57" t="s">
        <v>110</v>
      </c>
      <c r="L10" s="57" t="s">
        <v>110</v>
      </c>
      <c r="M10" s="57" t="s">
        <v>110</v>
      </c>
      <c r="N10" s="57" t="s">
        <v>112</v>
      </c>
      <c r="O10" s="57"/>
      <c r="P10" s="60" t="s">
        <v>113</v>
      </c>
      <c r="Q10" s="51" t="s">
        <v>114</v>
      </c>
      <c r="R10" s="51" t="s">
        <v>114</v>
      </c>
      <c r="S10" s="5"/>
      <c r="T10" s="85"/>
    </row>
    <row r="11" spans="1:20" ht="23.25" customHeight="1">
      <c r="A11" s="134"/>
      <c r="B11" s="135"/>
      <c r="C11" s="128"/>
      <c r="D11" s="128"/>
      <c r="E11" s="128"/>
      <c r="F11" s="21"/>
      <c r="G11" s="21"/>
      <c r="H11" s="5"/>
      <c r="I11" s="123"/>
      <c r="J11" s="123"/>
      <c r="K11" s="47"/>
      <c r="L11" s="47"/>
      <c r="M11" s="47"/>
      <c r="N11" s="47"/>
      <c r="O11" s="47"/>
      <c r="P11" s="9"/>
      <c r="Q11" s="21"/>
      <c r="R11" s="21"/>
      <c r="S11" s="5"/>
      <c r="T11" s="47"/>
    </row>
    <row r="12" spans="1:20" ht="23.25" customHeight="1">
      <c r="A12" s="134">
        <v>40805</v>
      </c>
      <c r="B12" s="135"/>
      <c r="C12" s="128"/>
      <c r="D12" s="128"/>
      <c r="E12" s="128"/>
      <c r="F12" s="21">
        <v>1042</v>
      </c>
      <c r="G12" s="21">
        <v>1048</v>
      </c>
      <c r="H12" s="82">
        <v>87</v>
      </c>
      <c r="I12" s="136">
        <f>G12-F12</f>
        <v>6</v>
      </c>
      <c r="J12" s="136">
        <f>I12*1.1</f>
        <v>6.6000000000000005</v>
      </c>
      <c r="K12" s="136">
        <f>H12-I12</f>
        <v>81</v>
      </c>
      <c r="L12" s="47">
        <v>0</v>
      </c>
      <c r="M12" s="136">
        <f>K12+L12</f>
        <v>81</v>
      </c>
      <c r="N12" s="136">
        <f>(M12/87)*100</f>
        <v>93.10344827586206</v>
      </c>
      <c r="O12" s="136"/>
      <c r="P12" s="73">
        <f>(K12/$B$5)*$F$5</f>
        <v>441.81818181818176</v>
      </c>
      <c r="Q12" s="21">
        <f>0</f>
        <v>0</v>
      </c>
      <c r="R12" s="21"/>
      <c r="S12" s="5"/>
      <c r="T12" s="47"/>
    </row>
    <row r="13" spans="1:20" ht="13.5" customHeight="1">
      <c r="A13" s="134">
        <v>40806</v>
      </c>
      <c r="B13" s="135">
        <v>0.375</v>
      </c>
      <c r="C13" s="128"/>
      <c r="D13" s="128"/>
      <c r="E13" s="128"/>
      <c r="F13" s="21">
        <f>G12</f>
        <v>1048</v>
      </c>
      <c r="G13" s="21">
        <v>1052.25</v>
      </c>
      <c r="H13" s="137">
        <f>K12</f>
        <v>81</v>
      </c>
      <c r="I13" s="136">
        <f>G13-F13</f>
        <v>4.25</v>
      </c>
      <c r="J13" s="136">
        <f>I13*1.1</f>
        <v>4.675000000000001</v>
      </c>
      <c r="K13" s="136">
        <f>H13-I13</f>
        <v>76.75</v>
      </c>
      <c r="L13" s="47">
        <v>0</v>
      </c>
      <c r="M13" s="136">
        <f>K13+L13</f>
        <v>76.75</v>
      </c>
      <c r="N13" s="136">
        <f>(M13/87)*100</f>
        <v>88.2183908045977</v>
      </c>
      <c r="O13" s="136"/>
      <c r="P13" s="73">
        <f>(K13/$B$5)*$F$5</f>
        <v>418.6363636363636</v>
      </c>
      <c r="Q13" s="21">
        <v>0</v>
      </c>
      <c r="R13" s="21"/>
      <c r="S13" s="5"/>
      <c r="T13" s="47"/>
    </row>
    <row r="14" spans="1:20" ht="13.5" customHeight="1">
      <c r="A14" s="134">
        <v>40807</v>
      </c>
      <c r="B14" s="135">
        <v>0.3541666666666667</v>
      </c>
      <c r="C14" s="128"/>
      <c r="D14" s="128"/>
      <c r="E14" s="128"/>
      <c r="F14" s="21">
        <f>G13</f>
        <v>1052.25</v>
      </c>
      <c r="G14" s="21">
        <v>1055</v>
      </c>
      <c r="H14" s="70">
        <v>76.75</v>
      </c>
      <c r="I14" s="136">
        <f>G14-F14</f>
        <v>2.75</v>
      </c>
      <c r="J14" s="136">
        <f>I14*1.1</f>
        <v>3.0250000000000004</v>
      </c>
      <c r="K14" s="136">
        <f>H14-I14</f>
        <v>74</v>
      </c>
      <c r="L14" s="47">
        <v>0</v>
      </c>
      <c r="M14" s="136">
        <f>K14+L14</f>
        <v>74</v>
      </c>
      <c r="N14" s="136">
        <f>(M14/87)*100</f>
        <v>85.0574712643678</v>
      </c>
      <c r="O14" s="136"/>
      <c r="P14" s="73">
        <f>(K14/$B$5)*$F$5</f>
        <v>403.6363636363636</v>
      </c>
      <c r="Q14" s="21">
        <v>134.2</v>
      </c>
      <c r="R14" s="21"/>
      <c r="S14" s="5"/>
      <c r="T14" s="47"/>
    </row>
    <row r="15" spans="1:20" ht="13.5" customHeight="1">
      <c r="A15" s="134">
        <v>40808</v>
      </c>
      <c r="B15" s="135">
        <v>0.3680555555555556</v>
      </c>
      <c r="C15" s="128">
        <v>1061</v>
      </c>
      <c r="D15" s="128">
        <v>26</v>
      </c>
      <c r="E15" s="128">
        <f>C15+(D15/60)</f>
        <v>1061.4333333333334</v>
      </c>
      <c r="F15" s="21">
        <v>1055</v>
      </c>
      <c r="G15" s="21">
        <f>E15</f>
        <v>1061.4333333333334</v>
      </c>
      <c r="H15" s="70">
        <f>K14</f>
        <v>74</v>
      </c>
      <c r="I15" s="136">
        <f>G15-F15</f>
        <v>6.433333333333394</v>
      </c>
      <c r="J15" s="136">
        <f>I15*1.1</f>
        <v>7.076666666666734</v>
      </c>
      <c r="K15" s="136">
        <f>H15-I15</f>
        <v>67.5666666666666</v>
      </c>
      <c r="L15" s="47">
        <v>0</v>
      </c>
      <c r="M15" s="136">
        <f>K15+L15</f>
        <v>67.5666666666666</v>
      </c>
      <c r="N15" s="136">
        <f>(M15/87)*100</f>
        <v>77.66283524904208</v>
      </c>
      <c r="O15" s="136"/>
      <c r="P15" s="73">
        <f>(K15/$B$5)*$F$5</f>
        <v>368.54545454545416</v>
      </c>
      <c r="Q15" s="21"/>
      <c r="R15" s="21"/>
      <c r="S15" s="5"/>
      <c r="T15" s="47"/>
    </row>
    <row r="16" spans="1:20" ht="13.5" customHeight="1">
      <c r="A16" s="134">
        <v>40809</v>
      </c>
      <c r="B16" s="135">
        <v>0.36944444444444446</v>
      </c>
      <c r="C16" s="128"/>
      <c r="D16" s="128"/>
      <c r="E16" s="128">
        <f>C16+(D16/60)</f>
        <v>0</v>
      </c>
      <c r="F16" s="21">
        <f>G15</f>
        <v>1061.4333333333334</v>
      </c>
      <c r="G16" s="21">
        <v>1065.25</v>
      </c>
      <c r="H16" s="70">
        <f>K15</f>
        <v>67.5666666666666</v>
      </c>
      <c r="I16" s="136">
        <f>G16-F16</f>
        <v>3.816666666666606</v>
      </c>
      <c r="J16" s="136">
        <f>I16*1.1</f>
        <v>4.198333333333267</v>
      </c>
      <c r="K16" s="136">
        <f>H16-I16</f>
        <v>63.75</v>
      </c>
      <c r="L16" s="47">
        <v>0</v>
      </c>
      <c r="M16" s="136">
        <f>K16+L16</f>
        <v>63.75</v>
      </c>
      <c r="N16" s="136">
        <f>(M16/87)*100</f>
        <v>73.27586206896551</v>
      </c>
      <c r="O16" s="136"/>
      <c r="P16" s="73">
        <f>(K16/$B$5)*$F$5</f>
        <v>347.72727272727275</v>
      </c>
      <c r="Q16" s="21">
        <v>509.6</v>
      </c>
      <c r="R16" s="21"/>
      <c r="S16" s="5"/>
      <c r="T16" s="47"/>
    </row>
    <row r="17" spans="1:20" ht="13.5" customHeight="1">
      <c r="A17" s="134">
        <v>40810</v>
      </c>
      <c r="B17" s="135">
        <v>0.3888888888888889</v>
      </c>
      <c r="C17" s="128">
        <v>1065</v>
      </c>
      <c r="D17" s="128"/>
      <c r="E17" s="128">
        <f>C17+(D17/60)</f>
        <v>1065</v>
      </c>
      <c r="F17" s="21">
        <f>G16</f>
        <v>1065.25</v>
      </c>
      <c r="G17" s="21">
        <v>1066.6</v>
      </c>
      <c r="H17" s="70">
        <f>K16</f>
        <v>63.75</v>
      </c>
      <c r="I17" s="136">
        <f>G17-F17</f>
        <v>1.349999999999909</v>
      </c>
      <c r="J17" s="136">
        <f>I17*1.1</f>
        <v>1.4849999999999002</v>
      </c>
      <c r="K17" s="136">
        <f>H17-I17</f>
        <v>62.40000000000009</v>
      </c>
      <c r="L17" s="47">
        <v>0</v>
      </c>
      <c r="M17" s="136">
        <f>K17+L17</f>
        <v>62.40000000000009</v>
      </c>
      <c r="N17" s="136">
        <f>(M17/87)*100</f>
        <v>71.72413793103459</v>
      </c>
      <c r="O17" s="136"/>
      <c r="P17" s="73">
        <f>(K17/$B$5)*$F$5</f>
        <v>340.36363636363683</v>
      </c>
      <c r="Q17" s="21"/>
      <c r="R17" s="21"/>
      <c r="S17" s="5"/>
      <c r="T17" s="47"/>
    </row>
    <row r="18" spans="1:20" ht="13.5" customHeight="1">
      <c r="A18" s="134">
        <v>40811</v>
      </c>
      <c r="B18" s="135">
        <v>0.3625</v>
      </c>
      <c r="C18" s="128">
        <v>1068</v>
      </c>
      <c r="D18" s="128">
        <v>21</v>
      </c>
      <c r="E18" s="128">
        <f>C18+(D18/60)</f>
        <v>1068.35</v>
      </c>
      <c r="F18" s="21">
        <f>G17</f>
        <v>1066.6</v>
      </c>
      <c r="G18" s="21">
        <f>E18</f>
        <v>1068.35</v>
      </c>
      <c r="H18" s="70">
        <f>K17</f>
        <v>62.40000000000009</v>
      </c>
      <c r="I18" s="136">
        <f>G18-F18</f>
        <v>1.75</v>
      </c>
      <c r="J18" s="136">
        <f>I18*1.1</f>
        <v>1.9250000000000003</v>
      </c>
      <c r="K18" s="136">
        <f>H18-I18</f>
        <v>60.65000000000009</v>
      </c>
      <c r="L18" s="47">
        <v>0</v>
      </c>
      <c r="M18" s="136">
        <f>K18+L18</f>
        <v>60.65000000000009</v>
      </c>
      <c r="N18" s="136">
        <f>(M18/87)*100</f>
        <v>69.71264367816103</v>
      </c>
      <c r="O18" s="136"/>
      <c r="P18" s="73">
        <f>(K18/$B$5)*$F$5</f>
        <v>330.81818181818227</v>
      </c>
      <c r="Q18" s="21">
        <v>702</v>
      </c>
      <c r="R18" s="21"/>
      <c r="S18" s="5"/>
      <c r="T18" s="47"/>
    </row>
    <row r="19" spans="1:20" ht="13.5" customHeight="1">
      <c r="A19" s="134">
        <v>40812</v>
      </c>
      <c r="B19" s="135">
        <v>0.36319444444444443</v>
      </c>
      <c r="C19" s="128">
        <v>1069</v>
      </c>
      <c r="D19" s="128">
        <v>13</v>
      </c>
      <c r="E19" s="128">
        <f>C19+(D19/60)</f>
        <v>1069.2166666666667</v>
      </c>
      <c r="F19" s="21">
        <f>G18</f>
        <v>1068.35</v>
      </c>
      <c r="G19" s="21">
        <v>1069</v>
      </c>
      <c r="H19" s="70">
        <f>K18</f>
        <v>60.65000000000009</v>
      </c>
      <c r="I19" s="136">
        <f>G19-F19</f>
        <v>0.650000000000091</v>
      </c>
      <c r="J19" s="136">
        <f>I19*1.1</f>
        <v>0.7150000000001001</v>
      </c>
      <c r="K19" s="136">
        <f>H19-I19</f>
        <v>60</v>
      </c>
      <c r="L19" s="47">
        <v>0</v>
      </c>
      <c r="M19" s="136">
        <f>K19+L19</f>
        <v>60</v>
      </c>
      <c r="N19" s="136">
        <f>(M19/87)*100</f>
        <v>68.96551724137932</v>
      </c>
      <c r="O19" s="136"/>
      <c r="P19" s="73">
        <f>(K19/$B$5)*$F$5</f>
        <v>327.27272727272725</v>
      </c>
      <c r="Q19" s="21">
        <v>774.8</v>
      </c>
      <c r="R19" s="21"/>
      <c r="S19" s="5"/>
      <c r="T19" s="47"/>
    </row>
    <row r="20" spans="1:20" ht="13.5" customHeight="1">
      <c r="A20" s="134">
        <v>40813</v>
      </c>
      <c r="B20" s="135">
        <v>0.375</v>
      </c>
      <c r="C20" s="128">
        <v>1073</v>
      </c>
      <c r="D20" s="128">
        <v>56</v>
      </c>
      <c r="E20" s="128">
        <f>C20+(D20/60)</f>
        <v>1073.9333333333334</v>
      </c>
      <c r="F20" s="21">
        <f>G19</f>
        <v>1069</v>
      </c>
      <c r="G20" s="21">
        <v>1073.93</v>
      </c>
      <c r="H20" s="70">
        <f>K19</f>
        <v>60</v>
      </c>
      <c r="I20" s="136">
        <f>G20-F20</f>
        <v>4.930000000000064</v>
      </c>
      <c r="J20" s="136">
        <f>I20*1.1</f>
        <v>5.42300000000007</v>
      </c>
      <c r="K20" s="136">
        <f>H20-I20</f>
        <v>55.069999999999936</v>
      </c>
      <c r="L20" s="47">
        <v>0</v>
      </c>
      <c r="M20" s="136">
        <f>K20+L20</f>
        <v>55.069999999999936</v>
      </c>
      <c r="N20" s="136">
        <f>(M20/87)*100</f>
        <v>63.298850574712574</v>
      </c>
      <c r="O20" s="136"/>
      <c r="P20" s="73">
        <f>(K20/$B$5)*$F$5</f>
        <v>300.3818181818178</v>
      </c>
      <c r="Q20" s="21"/>
      <c r="R20" s="21"/>
      <c r="S20" s="5"/>
      <c r="T20" s="47"/>
    </row>
    <row r="21" spans="1:20" ht="13.5" customHeight="1">
      <c r="A21" s="134">
        <v>40814</v>
      </c>
      <c r="B21" s="135">
        <v>0.5722222222222222</v>
      </c>
      <c r="C21" s="128">
        <v>1081</v>
      </c>
      <c r="D21" s="128">
        <v>19</v>
      </c>
      <c r="E21" s="128">
        <f>C21+(D21/60)</f>
        <v>1081.3166666666666</v>
      </c>
      <c r="F21" s="21">
        <f>G20</f>
        <v>1073.93</v>
      </c>
      <c r="G21" s="21">
        <v>1081</v>
      </c>
      <c r="H21" s="70">
        <f>K20</f>
        <v>55.069999999999936</v>
      </c>
      <c r="I21" s="136">
        <f>G21-F21</f>
        <v>7.069999999999936</v>
      </c>
      <c r="J21" s="136">
        <f>I21*1.1</f>
        <v>7.776999999999931</v>
      </c>
      <c r="K21" s="136">
        <f>H21-I21+34</f>
        <v>82</v>
      </c>
      <c r="L21" s="47">
        <v>34</v>
      </c>
      <c r="M21" s="136">
        <f>K21</f>
        <v>82</v>
      </c>
      <c r="N21" s="136">
        <f>(M21/87)*100</f>
        <v>94.25287356321839</v>
      </c>
      <c r="O21" s="136"/>
      <c r="P21" s="73">
        <f>(K21/$B$5)*$F$5</f>
        <v>447.2727272727272</v>
      </c>
      <c r="Q21" s="21">
        <v>1187.9</v>
      </c>
      <c r="R21" s="21"/>
      <c r="S21" s="5"/>
      <c r="T21" s="47"/>
    </row>
    <row r="22" spans="1:20" ht="13.5" customHeight="1">
      <c r="A22" s="134">
        <v>40818</v>
      </c>
      <c r="B22" s="135">
        <v>0.3506944444444444</v>
      </c>
      <c r="C22" s="128">
        <v>1084</v>
      </c>
      <c r="D22" s="128">
        <v>54</v>
      </c>
      <c r="E22" s="128">
        <f>C22+(D22/60)</f>
        <v>1084.9</v>
      </c>
      <c r="F22" s="21">
        <f>G21</f>
        <v>1081</v>
      </c>
      <c r="G22" s="21">
        <v>1084.9</v>
      </c>
      <c r="H22" s="70">
        <f>K21</f>
        <v>82</v>
      </c>
      <c r="I22" s="136">
        <f>G22-F22</f>
        <v>3.900000000000091</v>
      </c>
      <c r="J22" s="136">
        <f>I22*1.1</f>
        <v>4.2900000000001</v>
      </c>
      <c r="K22" s="136">
        <f>H22-I22</f>
        <v>78.09999999999991</v>
      </c>
      <c r="L22" s="47">
        <v>0</v>
      </c>
      <c r="M22" s="136">
        <f>K22+L22</f>
        <v>78.09999999999991</v>
      </c>
      <c r="N22" s="136">
        <f>(M22/87)*100</f>
        <v>89.77011494252864</v>
      </c>
      <c r="O22" s="136"/>
      <c r="P22" s="73">
        <f>(K22/$B$5)*$F$5</f>
        <v>425.9999999999995</v>
      </c>
      <c r="Q22" s="21">
        <v>1304.1</v>
      </c>
      <c r="R22" s="21"/>
      <c r="S22" s="5"/>
      <c r="T22" s="47"/>
    </row>
    <row r="23" spans="1:20" ht="13.5" customHeight="1">
      <c r="A23" s="134">
        <v>40819</v>
      </c>
      <c r="B23" s="135">
        <v>0.3506944444444444</v>
      </c>
      <c r="C23" s="128">
        <v>1086</v>
      </c>
      <c r="D23" s="128">
        <v>58</v>
      </c>
      <c r="E23" s="128">
        <f>C23+(D23/60)</f>
        <v>1086.9666666666667</v>
      </c>
      <c r="F23" s="21">
        <f>G22</f>
        <v>1084.9</v>
      </c>
      <c r="G23" s="21">
        <v>1086.97</v>
      </c>
      <c r="H23" s="70">
        <f>K22</f>
        <v>78.09999999999991</v>
      </c>
      <c r="I23" s="136">
        <f>G23-F23</f>
        <v>2.0699999999999363</v>
      </c>
      <c r="J23" s="136">
        <f>I23*1.1</f>
        <v>2.27699999999993</v>
      </c>
      <c r="K23" s="136">
        <f>H23-I23</f>
        <v>76.02999999999997</v>
      </c>
      <c r="L23" s="47">
        <v>0</v>
      </c>
      <c r="M23" s="136">
        <f>K23+L23</f>
        <v>76.02999999999997</v>
      </c>
      <c r="N23" s="136">
        <f>(M23/87)*100</f>
        <v>87.39080459770112</v>
      </c>
      <c r="O23" s="136"/>
      <c r="P23" s="73">
        <f>(K23/$B$5)*$F$5</f>
        <v>414.7090909090907</v>
      </c>
      <c r="Q23" s="21">
        <v>1417.1</v>
      </c>
      <c r="R23" s="21"/>
      <c r="S23" s="5"/>
      <c r="T23" s="47"/>
    </row>
    <row r="24" spans="1:20" ht="13.5" customHeight="1">
      <c r="A24" s="134">
        <v>40820</v>
      </c>
      <c r="B24" s="135">
        <v>0.3611111111111111</v>
      </c>
      <c r="C24" s="128">
        <v>1089</v>
      </c>
      <c r="D24" s="128">
        <v>45</v>
      </c>
      <c r="E24" s="128">
        <f>C24+(D24/60)</f>
        <v>1089.75</v>
      </c>
      <c r="F24" s="21">
        <f>G23</f>
        <v>1086.97</v>
      </c>
      <c r="G24" s="21">
        <v>1089.75</v>
      </c>
      <c r="H24" s="70">
        <f>K23</f>
        <v>76.02999999999997</v>
      </c>
      <c r="I24" s="136">
        <f>G24-F24</f>
        <v>2.7799999999999727</v>
      </c>
      <c r="J24" s="136">
        <f>I24*1.1</f>
        <v>3.05799999999997</v>
      </c>
      <c r="K24" s="136">
        <f>H24-I24</f>
        <v>73.25</v>
      </c>
      <c r="L24" s="47">
        <v>0</v>
      </c>
      <c r="M24" s="136">
        <f>K24+L24</f>
        <v>73.25</v>
      </c>
      <c r="N24" s="136">
        <f>(M24/87)*100</f>
        <v>84.19540229885058</v>
      </c>
      <c r="O24" s="136"/>
      <c r="P24" s="73">
        <f>(K24/$B$5)*$F$5</f>
        <v>399.5454545454545</v>
      </c>
      <c r="Q24" s="21">
        <v>1646.2</v>
      </c>
      <c r="R24" s="21"/>
      <c r="S24" s="5"/>
      <c r="T24" s="47"/>
    </row>
    <row r="25" spans="1:20" ht="13.5" customHeight="1">
      <c r="A25" s="134">
        <v>40821</v>
      </c>
      <c r="B25" s="135">
        <v>0.375</v>
      </c>
      <c r="C25" s="128">
        <v>1093</v>
      </c>
      <c r="D25" s="128">
        <v>0</v>
      </c>
      <c r="E25" s="128">
        <f>C25+(D25/60)</f>
        <v>1093</v>
      </c>
      <c r="F25" s="21">
        <v>1089.75</v>
      </c>
      <c r="G25" s="21">
        <v>1093</v>
      </c>
      <c r="H25" s="70">
        <f>K24</f>
        <v>73.25</v>
      </c>
      <c r="I25" s="136">
        <f>G25-F25</f>
        <v>3.25</v>
      </c>
      <c r="J25" s="136">
        <f>I25*1.1</f>
        <v>3.575</v>
      </c>
      <c r="K25" s="136">
        <f>H25-I25</f>
        <v>70</v>
      </c>
      <c r="L25" s="47">
        <v>0</v>
      </c>
      <c r="M25" s="136">
        <f>K25+L25</f>
        <v>70</v>
      </c>
      <c r="N25" s="136">
        <f>(M25/87)*100</f>
        <v>80.45977011494253</v>
      </c>
      <c r="O25" s="136"/>
      <c r="P25" s="73">
        <f>(K25/$B$5)*$F$5</f>
        <v>381.8181818181818</v>
      </c>
      <c r="Q25" s="21">
        <v>1745</v>
      </c>
      <c r="R25" s="21"/>
      <c r="S25" s="5"/>
      <c r="T25" s="47"/>
    </row>
    <row r="26" spans="1:19" ht="13.5" customHeight="1">
      <c r="A26" s="134">
        <v>40822</v>
      </c>
      <c r="B26" s="135">
        <v>0.3486111111111111</v>
      </c>
      <c r="C26" s="128">
        <v>1099</v>
      </c>
      <c r="D26" s="128">
        <v>35</v>
      </c>
      <c r="E26" s="128">
        <f>C26+(D26/60)</f>
        <v>1099.5833333333333</v>
      </c>
      <c r="F26" s="21">
        <f>G25</f>
        <v>1093</v>
      </c>
      <c r="G26" s="21">
        <v>1099.35</v>
      </c>
      <c r="H26" s="70">
        <f>K25</f>
        <v>70</v>
      </c>
      <c r="I26" s="136">
        <f>G26-F26</f>
        <v>6.349999999999909</v>
      </c>
      <c r="J26" s="136">
        <f>I26*1.1</f>
        <v>6.984999999999901</v>
      </c>
      <c r="K26" s="136">
        <f>H26-I26</f>
        <v>63.65000000000009</v>
      </c>
      <c r="L26" s="136">
        <v>0</v>
      </c>
      <c r="M26" s="136">
        <f>K26+L26</f>
        <v>63.65000000000009</v>
      </c>
      <c r="N26" s="136">
        <f>(M26/87)*100</f>
        <v>73.16091954022998</v>
      </c>
      <c r="O26" s="136"/>
      <c r="P26" s="73">
        <f>(K26/$B$5)*$F$5</f>
        <v>347.1818181818187</v>
      </c>
      <c r="Q26" s="21">
        <v>1933.7</v>
      </c>
      <c r="R26" s="5"/>
      <c r="S26" s="47"/>
    </row>
    <row r="27" spans="1:19" ht="13.5" customHeight="1">
      <c r="A27" s="134">
        <v>40823</v>
      </c>
      <c r="B27" s="135">
        <v>0.3472222222222222</v>
      </c>
      <c r="C27" s="128">
        <v>1106</v>
      </c>
      <c r="D27" s="128">
        <v>48</v>
      </c>
      <c r="E27" s="128">
        <f>C27+(D27/60)</f>
        <v>1106.8</v>
      </c>
      <c r="F27" s="21">
        <f>G26</f>
        <v>1099.35</v>
      </c>
      <c r="G27" s="21">
        <v>1106.8</v>
      </c>
      <c r="H27" s="70">
        <f>K26</f>
        <v>63.65000000000009</v>
      </c>
      <c r="I27" s="136">
        <f>G27-F27</f>
        <v>7.4500000000000455</v>
      </c>
      <c r="J27" s="136">
        <f>I27*1.1</f>
        <v>8.19500000000005</v>
      </c>
      <c r="K27" s="136">
        <f>H27-I27</f>
        <v>56.200000000000045</v>
      </c>
      <c r="L27" s="123">
        <v>0</v>
      </c>
      <c r="M27" s="136">
        <f>K27+L27</f>
        <v>56.200000000000045</v>
      </c>
      <c r="N27" s="136">
        <f>(M27/87)*100</f>
        <v>64.59770114942533</v>
      </c>
      <c r="O27" s="136"/>
      <c r="P27" s="73">
        <f>(K27/$B$5)*$F$5</f>
        <v>306.5454545454548</v>
      </c>
      <c r="Q27" s="21">
        <v>2143.7</v>
      </c>
      <c r="R27" s="5"/>
      <c r="S27" s="47"/>
    </row>
    <row r="28" spans="1:19" ht="13.5" customHeight="1">
      <c r="A28" s="134">
        <v>40824</v>
      </c>
      <c r="B28" s="135">
        <v>0.3333333333333333</v>
      </c>
      <c r="C28" s="128">
        <v>1109</v>
      </c>
      <c r="D28" s="128">
        <v>58</v>
      </c>
      <c r="E28" s="128">
        <f>C28+(D28/60)</f>
        <v>1109.9666666666667</v>
      </c>
      <c r="F28" s="21">
        <f>G27</f>
        <v>1106.8</v>
      </c>
      <c r="G28" s="21">
        <v>1109.94</v>
      </c>
      <c r="H28" s="70">
        <f>K27</f>
        <v>56.200000000000045</v>
      </c>
      <c r="I28" s="136">
        <f>G28-F28</f>
        <v>3.1400000000001</v>
      </c>
      <c r="J28" s="136">
        <f>I28*1.1</f>
        <v>3.4540000000001103</v>
      </c>
      <c r="K28" s="136">
        <f>H28-I28</f>
        <v>53.059999999999945</v>
      </c>
      <c r="L28" s="123">
        <v>0</v>
      </c>
      <c r="M28" s="136">
        <f>K28+L28</f>
        <v>53.059999999999945</v>
      </c>
      <c r="N28" s="136">
        <f>(M28/87)*100</f>
        <v>60.988505747126375</v>
      </c>
      <c r="O28" s="136"/>
      <c r="P28" s="73">
        <f>(K28/$B$5)*$F$5</f>
        <v>289.4181818181815</v>
      </c>
      <c r="Q28" s="21">
        <v>2310.8</v>
      </c>
      <c r="R28" s="5"/>
      <c r="S28" s="47"/>
    </row>
    <row r="29" spans="1:19" ht="13.5" customHeight="1">
      <c r="A29" s="134">
        <v>40825</v>
      </c>
      <c r="B29" s="135">
        <v>0.34375</v>
      </c>
      <c r="C29" s="128">
        <v>1114</v>
      </c>
      <c r="D29" s="128">
        <v>16</v>
      </c>
      <c r="E29" s="128">
        <f>C29+(D29/60)</f>
        <v>1114.2666666666667</v>
      </c>
      <c r="F29" s="21">
        <v>1109.94</v>
      </c>
      <c r="G29" s="21">
        <v>1114.3</v>
      </c>
      <c r="H29" s="70">
        <f>K28</f>
        <v>53.059999999999945</v>
      </c>
      <c r="I29" s="136">
        <f>G29-F29</f>
        <v>4.3599999999999</v>
      </c>
      <c r="J29" s="136">
        <f>I29*1.1</f>
        <v>4.79599999999989</v>
      </c>
      <c r="K29" s="136">
        <f>H29-I29++50</f>
        <v>98.70000000000005</v>
      </c>
      <c r="L29" s="123">
        <v>50</v>
      </c>
      <c r="M29" s="136">
        <f>K29+L29</f>
        <v>148.70000000000005</v>
      </c>
      <c r="N29" s="136">
        <f>(M29/87)*100</f>
        <v>170.91954022988511</v>
      </c>
      <c r="O29" s="136">
        <v>87</v>
      </c>
      <c r="P29" s="73">
        <f>(K29/$B$5)*$F$5</f>
        <v>538.3636363636366</v>
      </c>
      <c r="Q29" s="21">
        <v>2476.5</v>
      </c>
      <c r="R29" s="5"/>
      <c r="S29" s="47"/>
    </row>
    <row r="30" spans="1:19" ht="13.5" customHeight="1">
      <c r="A30" s="134">
        <v>40826</v>
      </c>
      <c r="B30" s="135">
        <v>0.3729166666666667</v>
      </c>
      <c r="C30" s="128">
        <v>1116</v>
      </c>
      <c r="D30" s="128">
        <v>35</v>
      </c>
      <c r="E30" s="128">
        <f>C30+(D30/60)</f>
        <v>1116.5833333333333</v>
      </c>
      <c r="F30" s="21">
        <v>1114.3</v>
      </c>
      <c r="G30" s="21">
        <v>1116.58</v>
      </c>
      <c r="H30" s="70">
        <f>K29</f>
        <v>98.70000000000005</v>
      </c>
      <c r="I30" s="136">
        <f>G30-F30</f>
        <v>2.2799999999999727</v>
      </c>
      <c r="J30" s="136">
        <f>I30*1.1</f>
        <v>2.5079999999999703</v>
      </c>
      <c r="K30" s="136">
        <f>H30-I30</f>
        <v>96.42000000000007</v>
      </c>
      <c r="L30" s="136">
        <v>0</v>
      </c>
      <c r="M30" s="136">
        <f>K30+L30</f>
        <v>96.42000000000007</v>
      </c>
      <c r="N30" s="136">
        <f>(M30/87)*100</f>
        <v>110.82758620689663</v>
      </c>
      <c r="O30" s="136"/>
      <c r="P30" s="73">
        <f>(K30/$B$5)*$F$5</f>
        <v>525.927272727273</v>
      </c>
      <c r="Q30" s="21">
        <v>2600</v>
      </c>
      <c r="R30" s="5"/>
      <c r="S30" s="47"/>
    </row>
    <row r="31" spans="1:19" ht="13.5" customHeight="1">
      <c r="A31" s="134">
        <v>40857</v>
      </c>
      <c r="B31" s="135">
        <v>0.34375</v>
      </c>
      <c r="C31" s="128">
        <v>1122</v>
      </c>
      <c r="D31" s="128">
        <v>14</v>
      </c>
      <c r="E31" s="138">
        <f>C31+(D31/60)</f>
        <v>1122.2333333333333</v>
      </c>
      <c r="F31" s="21">
        <v>1116.58</v>
      </c>
      <c r="G31" s="21">
        <v>1122.23</v>
      </c>
      <c r="H31" s="70">
        <f>K30</f>
        <v>96.42000000000007</v>
      </c>
      <c r="I31" s="136">
        <f>G31-F31</f>
        <v>5.650000000000091</v>
      </c>
      <c r="J31" s="136">
        <f>I31*1.1</f>
        <v>6.2150000000001</v>
      </c>
      <c r="K31" s="136">
        <f>H31-I31</f>
        <v>90.76999999999998</v>
      </c>
      <c r="L31" s="136"/>
      <c r="M31" s="136">
        <f>K31+L31</f>
        <v>90.76999999999998</v>
      </c>
      <c r="N31" s="136">
        <f>(M31/87)*100</f>
        <v>104.33333333333333</v>
      </c>
      <c r="O31" s="136"/>
      <c r="P31" s="21"/>
      <c r="Q31" s="21"/>
      <c r="R31" s="5"/>
      <c r="S31" s="47"/>
    </row>
    <row r="32" spans="1:19" ht="13.5" customHeight="1">
      <c r="A32" s="134"/>
      <c r="B32" s="135"/>
      <c r="C32" s="128"/>
      <c r="D32" s="128"/>
      <c r="E32" s="138"/>
      <c r="F32" s="21">
        <v>1122.23</v>
      </c>
      <c r="G32" s="21"/>
      <c r="H32" s="71"/>
      <c r="I32" s="136"/>
      <c r="J32" s="136"/>
      <c r="K32" s="47"/>
      <c r="L32" s="123"/>
      <c r="M32" s="123"/>
      <c r="N32" s="139"/>
      <c r="O32" s="139"/>
      <c r="P32" s="21"/>
      <c r="Q32" s="21"/>
      <c r="R32" s="5"/>
      <c r="S32" s="47"/>
    </row>
    <row r="33" spans="1:19" ht="13.5" customHeight="1">
      <c r="A33" s="134"/>
      <c r="B33" s="135"/>
      <c r="C33" s="128"/>
      <c r="D33" s="128"/>
      <c r="E33" s="138"/>
      <c r="F33" s="21"/>
      <c r="G33" s="21"/>
      <c r="H33" s="71"/>
      <c r="I33" s="136"/>
      <c r="J33" s="136"/>
      <c r="K33" s="47"/>
      <c r="L33" s="136"/>
      <c r="M33" s="136"/>
      <c r="N33" s="73"/>
      <c r="O33" s="73"/>
      <c r="P33" s="21"/>
      <c r="Q33" s="21"/>
      <c r="R33" s="5"/>
      <c r="S33" s="47"/>
    </row>
    <row r="34" spans="1:19" ht="13.5" customHeight="1">
      <c r="A34" s="134"/>
      <c r="B34" s="135"/>
      <c r="C34" s="128"/>
      <c r="D34" s="128"/>
      <c r="E34" s="140"/>
      <c r="F34" s="21"/>
      <c r="G34" s="21"/>
      <c r="H34" s="71"/>
      <c r="I34" s="136"/>
      <c r="J34" s="136"/>
      <c r="K34" s="47"/>
      <c r="L34" s="123"/>
      <c r="M34" s="123"/>
      <c r="N34" s="139"/>
      <c r="O34" s="139"/>
      <c r="P34" s="21"/>
      <c r="Q34" s="21"/>
      <c r="R34" s="5"/>
      <c r="S34" s="47"/>
    </row>
    <row r="35" spans="1:19" ht="13.5" customHeight="1">
      <c r="A35" s="134"/>
      <c r="B35" s="135"/>
      <c r="C35" s="128"/>
      <c r="D35" s="128"/>
      <c r="E35" s="140"/>
      <c r="F35" s="21"/>
      <c r="G35" s="21"/>
      <c r="H35" s="71"/>
      <c r="I35" s="136"/>
      <c r="J35" s="136"/>
      <c r="K35" s="47"/>
      <c r="L35" s="123"/>
      <c r="M35" s="123"/>
      <c r="N35" s="139"/>
      <c r="O35" s="139"/>
      <c r="P35" s="21"/>
      <c r="Q35" s="21"/>
      <c r="R35" s="5"/>
      <c r="S35" s="47"/>
    </row>
    <row r="36" spans="1:19" ht="13.5" customHeight="1">
      <c r="A36" s="134"/>
      <c r="B36" s="135"/>
      <c r="C36" s="128"/>
      <c r="D36" s="128"/>
      <c r="E36" s="140"/>
      <c r="F36" s="21"/>
      <c r="G36" s="21"/>
      <c r="H36" s="71"/>
      <c r="I36" s="136"/>
      <c r="J36" s="136"/>
      <c r="K36" s="47"/>
      <c r="L36" s="123"/>
      <c r="M36" s="123"/>
      <c r="N36" s="139"/>
      <c r="O36" s="139"/>
      <c r="P36" s="21"/>
      <c r="Q36" s="21"/>
      <c r="R36" s="5"/>
      <c r="S36" s="47"/>
    </row>
    <row r="37" spans="1:19" ht="13.5" customHeight="1">
      <c r="A37" s="134"/>
      <c r="B37" s="135"/>
      <c r="C37" s="128"/>
      <c r="D37" s="128"/>
      <c r="E37" s="140"/>
      <c r="F37" s="21"/>
      <c r="G37" s="21"/>
      <c r="H37" s="71"/>
      <c r="I37" s="136"/>
      <c r="J37" s="136"/>
      <c r="K37" s="47"/>
      <c r="L37" s="123"/>
      <c r="M37" s="123"/>
      <c r="N37" s="139"/>
      <c r="O37" s="139"/>
      <c r="P37" s="21"/>
      <c r="Q37" s="21"/>
      <c r="R37" s="5"/>
      <c r="S37" s="47"/>
    </row>
    <row r="38" spans="1:19" ht="13.5" customHeight="1">
      <c r="A38" s="134"/>
      <c r="B38" s="135"/>
      <c r="C38" s="128"/>
      <c r="D38" s="128"/>
      <c r="E38" s="140"/>
      <c r="F38" s="21"/>
      <c r="G38" s="21"/>
      <c r="H38" s="71"/>
      <c r="I38" s="136"/>
      <c r="J38" s="136"/>
      <c r="K38" s="47"/>
      <c r="L38" s="123"/>
      <c r="M38" s="123"/>
      <c r="N38" s="139"/>
      <c r="O38" s="139"/>
      <c r="P38" s="21"/>
      <c r="Q38" s="21"/>
      <c r="R38" s="5"/>
      <c r="S38" s="47"/>
    </row>
    <row r="39" spans="1:18" ht="13.5" customHeight="1">
      <c r="A39" s="134"/>
      <c r="B39" s="135"/>
      <c r="C39" s="128"/>
      <c r="D39" s="128"/>
      <c r="E39" s="140"/>
      <c r="F39" s="21"/>
      <c r="G39" s="21"/>
      <c r="H39" s="136"/>
      <c r="I39" s="47"/>
      <c r="J39" s="47"/>
      <c r="K39" s="123"/>
      <c r="L39" s="123"/>
      <c r="M39" s="139"/>
      <c r="N39" s="21"/>
      <c r="O39" s="21"/>
      <c r="P39" s="21"/>
      <c r="Q39" s="5"/>
      <c r="R39" s="47"/>
    </row>
    <row r="40" spans="1:18" ht="13.5" customHeight="1">
      <c r="A40" s="134"/>
      <c r="B40" s="135"/>
      <c r="C40" s="128"/>
      <c r="D40" s="128"/>
      <c r="E40" s="140"/>
      <c r="F40" s="21"/>
      <c r="G40" s="21"/>
      <c r="H40" s="136"/>
      <c r="I40" s="47"/>
      <c r="J40" s="47"/>
      <c r="K40" s="123"/>
      <c r="L40" s="123"/>
      <c r="M40" s="139"/>
      <c r="N40" s="21"/>
      <c r="O40" s="21"/>
      <c r="P40" s="21"/>
      <c r="Q40" s="5"/>
      <c r="R40" s="47"/>
    </row>
    <row r="41" spans="1:18" ht="13.5" customHeight="1">
      <c r="A41" s="134"/>
      <c r="B41" s="135"/>
      <c r="C41" s="128"/>
      <c r="D41" s="128"/>
      <c r="E41" s="140"/>
      <c r="F41" s="21"/>
      <c r="G41" s="21"/>
      <c r="H41" s="136"/>
      <c r="I41" s="47"/>
      <c r="J41" s="47"/>
      <c r="K41" s="123"/>
      <c r="L41" s="123"/>
      <c r="M41" s="139"/>
      <c r="N41" s="21"/>
      <c r="O41" s="21"/>
      <c r="P41" s="21"/>
      <c r="Q41" s="5"/>
      <c r="R41" s="47"/>
    </row>
    <row r="42" spans="1:18" ht="13.5" customHeight="1">
      <c r="A42" s="134"/>
      <c r="B42" s="135"/>
      <c r="C42" s="128"/>
      <c r="D42" s="128"/>
      <c r="E42" s="140"/>
      <c r="F42" s="21"/>
      <c r="G42" s="21"/>
      <c r="H42" s="136"/>
      <c r="I42" s="47"/>
      <c r="J42" s="47"/>
      <c r="K42" s="123"/>
      <c r="L42" s="123"/>
      <c r="M42" s="139"/>
      <c r="N42" s="21"/>
      <c r="O42" s="21"/>
      <c r="P42" s="21"/>
      <c r="Q42" s="5"/>
      <c r="R42" s="47"/>
    </row>
    <row r="43" spans="1:18" ht="13.5" customHeight="1">
      <c r="A43" s="134"/>
      <c r="B43" s="135"/>
      <c r="C43" s="128"/>
      <c r="D43" s="128"/>
      <c r="E43" s="140"/>
      <c r="F43" s="21"/>
      <c r="G43" s="21"/>
      <c r="H43" s="136"/>
      <c r="I43" s="47"/>
      <c r="J43" s="47"/>
      <c r="K43" s="123"/>
      <c r="L43" s="123"/>
      <c r="M43" s="139"/>
      <c r="N43" s="21"/>
      <c r="O43" s="21"/>
      <c r="P43" s="21"/>
      <c r="Q43" s="5"/>
      <c r="R43" s="47"/>
    </row>
    <row r="44" spans="1:18" ht="13.5" customHeight="1">
      <c r="A44" s="134"/>
      <c r="B44" s="135"/>
      <c r="C44" s="128"/>
      <c r="D44" s="128"/>
      <c r="E44" s="140"/>
      <c r="F44" s="21"/>
      <c r="G44" s="21"/>
      <c r="H44" s="136"/>
      <c r="I44" s="47"/>
      <c r="J44" s="47"/>
      <c r="K44" s="123"/>
      <c r="L44" s="123"/>
      <c r="M44" s="139"/>
      <c r="N44" s="21"/>
      <c r="O44" s="21"/>
      <c r="P44" s="21"/>
      <c r="Q44" s="5"/>
      <c r="R44" s="47"/>
    </row>
    <row r="45" spans="1:18" ht="13.5" customHeight="1">
      <c r="A45" s="134"/>
      <c r="B45" s="135"/>
      <c r="C45" s="128"/>
      <c r="D45" s="128"/>
      <c r="E45" s="140"/>
      <c r="F45" s="21"/>
      <c r="G45" s="21"/>
      <c r="H45" s="136"/>
      <c r="I45" s="47"/>
      <c r="J45" s="47"/>
      <c r="K45" s="123"/>
      <c r="L45" s="123"/>
      <c r="M45" s="139"/>
      <c r="N45" s="21"/>
      <c r="O45" s="21"/>
      <c r="P45" s="21"/>
      <c r="Q45" s="5"/>
      <c r="R45" s="47"/>
    </row>
    <row r="46" spans="1:18" ht="13.5" customHeight="1">
      <c r="A46" s="116"/>
      <c r="B46" s="141"/>
      <c r="C46" s="128"/>
      <c r="D46" s="128"/>
      <c r="E46" s="142"/>
      <c r="F46" s="21"/>
      <c r="G46" s="21"/>
      <c r="H46" s="136"/>
      <c r="I46" s="47"/>
      <c r="J46" s="47"/>
      <c r="K46" s="47"/>
      <c r="L46" s="47"/>
      <c r="M46" s="9"/>
      <c r="N46" s="21"/>
      <c r="O46" s="21"/>
      <c r="P46" s="21"/>
      <c r="Q46" s="5"/>
      <c r="R46" s="47"/>
    </row>
    <row r="47" spans="1:18" ht="13.5" customHeight="1">
      <c r="A47" s="116"/>
      <c r="B47" s="141"/>
      <c r="C47" s="128"/>
      <c r="D47" s="128"/>
      <c r="E47" s="142"/>
      <c r="F47" s="21"/>
      <c r="G47" s="21"/>
      <c r="H47" s="136"/>
      <c r="I47" s="47"/>
      <c r="J47" s="47"/>
      <c r="K47" s="47"/>
      <c r="L47" s="47"/>
      <c r="M47" s="9"/>
      <c r="N47" s="21"/>
      <c r="O47" s="21"/>
      <c r="P47" s="21"/>
      <c r="Q47" s="5"/>
      <c r="R47" s="47"/>
    </row>
    <row r="48" spans="1:18" ht="13.5" customHeight="1">
      <c r="A48" s="116"/>
      <c r="B48" s="141"/>
      <c r="C48" s="128"/>
      <c r="D48" s="128"/>
      <c r="E48" s="142"/>
      <c r="F48" s="21"/>
      <c r="G48" s="21"/>
      <c r="H48" s="136"/>
      <c r="I48" s="47"/>
      <c r="J48" s="47"/>
      <c r="K48" s="47"/>
      <c r="L48" s="47"/>
      <c r="M48" s="9"/>
      <c r="N48" s="21"/>
      <c r="O48" s="21"/>
      <c r="P48" s="21"/>
      <c r="Q48" s="5"/>
      <c r="R48" s="47"/>
    </row>
    <row r="49" spans="1:18" ht="13.5" customHeight="1">
      <c r="A49" s="116"/>
      <c r="B49" s="141"/>
      <c r="C49" s="128"/>
      <c r="D49" s="128"/>
      <c r="E49" s="142"/>
      <c r="F49" s="21"/>
      <c r="G49" s="21"/>
      <c r="H49" s="136"/>
      <c r="I49" s="47"/>
      <c r="J49" s="47"/>
      <c r="K49" s="47"/>
      <c r="L49" s="47"/>
      <c r="M49" s="9"/>
      <c r="N49" s="21"/>
      <c r="O49" s="21"/>
      <c r="P49" s="21"/>
      <c r="Q49" s="5"/>
      <c r="R49" s="47"/>
    </row>
    <row r="50" spans="1:18" ht="13.5" customHeight="1">
      <c r="A50" s="116"/>
      <c r="B50" s="141"/>
      <c r="C50" s="128"/>
      <c r="D50" s="128"/>
      <c r="E50" s="142"/>
      <c r="F50" s="84"/>
      <c r="G50" s="84"/>
      <c r="H50" s="136"/>
      <c r="I50" s="47"/>
      <c r="J50" s="47"/>
      <c r="K50" s="47"/>
      <c r="L50" s="47"/>
      <c r="M50" s="9"/>
      <c r="N50" s="84"/>
      <c r="O50" s="84"/>
      <c r="P50" s="84"/>
      <c r="Q50" s="5"/>
      <c r="R50" s="47"/>
    </row>
  </sheetData>
  <printOptions/>
  <pageMargins left="0.7" right="0.7" top="0.75" bottom="0.75" header="0.5118055555555555" footer="0.5118055555555555"/>
  <pageSetup firstPageNumber="1" useFirstPageNumber="1" horizontalDpi="300" verticalDpi="300" orientation="landscape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="60" zoomScaleNormal="60" workbookViewId="0" topLeftCell="A1">
      <selection activeCell="A1" sqref="A1"/>
    </sheetView>
  </sheetViews>
  <sheetFormatPr defaultColWidth="10.3984375" defaultRowHeight="19.5" customHeight="1"/>
  <cols>
    <col min="1" max="1" width="17" style="1" customWidth="1"/>
    <col min="2" max="2" width="12.19921875" style="1" customWidth="1"/>
    <col min="3" max="3" width="12.09765625" style="1" customWidth="1"/>
    <col min="4" max="19" width="8.69921875" style="1" customWidth="1"/>
    <col min="20" max="16384" width="10.19921875" style="1" customWidth="1"/>
  </cols>
  <sheetData>
    <row r="1" spans="1:19" ht="13.5" customHeight="1">
      <c r="A1" s="85" t="s">
        <v>115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3.5" customHeight="1">
      <c r="A2" s="47" t="s">
        <v>116</v>
      </c>
      <c r="B2" s="47" t="s">
        <v>117</v>
      </c>
      <c r="C2" s="47" t="s">
        <v>118</v>
      </c>
      <c r="D2" s="47" t="s">
        <v>119</v>
      </c>
      <c r="E2" s="47" t="s">
        <v>120</v>
      </c>
      <c r="F2" s="47" t="s">
        <v>121</v>
      </c>
      <c r="G2" s="47" t="s">
        <v>122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3.5" customHeight="1">
      <c r="A3" s="47">
        <v>4</v>
      </c>
      <c r="B3" s="47">
        <v>4</v>
      </c>
      <c r="C3" s="47">
        <v>25</v>
      </c>
      <c r="D3" s="47">
        <f>B3/C3</f>
        <v>0.16</v>
      </c>
      <c r="E3" s="47">
        <f>3.8*D3</f>
        <v>0.608</v>
      </c>
      <c r="F3" s="47">
        <v>8</v>
      </c>
      <c r="G3" s="47">
        <f>A3*3.8</f>
        <v>15.2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3.5" customHeight="1">
      <c r="A4" s="47">
        <v>7</v>
      </c>
      <c r="B4" s="47">
        <v>3</v>
      </c>
      <c r="C4" s="47">
        <v>19</v>
      </c>
      <c r="D4" s="47">
        <f>B4/C4</f>
        <v>0.15789473684210525</v>
      </c>
      <c r="E4" s="47">
        <f>3.8*D4</f>
        <v>0.6</v>
      </c>
      <c r="F4" s="47">
        <v>11</v>
      </c>
      <c r="G4" s="47">
        <f>A4*3.8</f>
        <v>26.599999999999998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3.5" customHeight="1">
      <c r="A5" s="47">
        <v>10</v>
      </c>
      <c r="B5" s="47">
        <v>3</v>
      </c>
      <c r="C5" s="47">
        <v>18</v>
      </c>
      <c r="D5" s="47">
        <f>B5/C5</f>
        <v>0.16666666666666666</v>
      </c>
      <c r="E5" s="47">
        <f>3.8*D5</f>
        <v>0.6333333333333333</v>
      </c>
      <c r="F5" s="47">
        <v>13.5</v>
      </c>
      <c r="G5" s="47">
        <f>A5*3.8</f>
        <v>38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3.5" customHeight="1">
      <c r="A6" s="47">
        <v>14</v>
      </c>
      <c r="B6" s="47">
        <v>4</v>
      </c>
      <c r="C6" s="47">
        <v>23</v>
      </c>
      <c r="D6" s="47">
        <f>B6/C6</f>
        <v>0.17391304347826086</v>
      </c>
      <c r="E6" s="47">
        <f>3.8*D6</f>
        <v>0.6608695652173913</v>
      </c>
      <c r="F6" s="47">
        <v>16.5</v>
      </c>
      <c r="G6" s="47">
        <f>A6*3.8</f>
        <v>53.199999999999996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3.5" customHeight="1">
      <c r="A7" s="47">
        <v>18</v>
      </c>
      <c r="B7" s="47">
        <v>4</v>
      </c>
      <c r="C7" s="47">
        <v>23</v>
      </c>
      <c r="D7" s="47">
        <f>B7/C7</f>
        <v>0.17391304347826086</v>
      </c>
      <c r="E7" s="47">
        <f>3.8*D7</f>
        <v>0.6608695652173913</v>
      </c>
      <c r="F7" s="47">
        <v>20</v>
      </c>
      <c r="G7" s="47">
        <f>A7*3.8</f>
        <v>68.39999999999999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3.5" customHeight="1">
      <c r="A8" s="47">
        <v>22</v>
      </c>
      <c r="B8" s="47">
        <v>4</v>
      </c>
      <c r="C8" s="47">
        <v>23</v>
      </c>
      <c r="D8" s="47">
        <f>B8/C8</f>
        <v>0.17391304347826086</v>
      </c>
      <c r="E8" s="47">
        <f>3.8*D8</f>
        <v>0.6608695652173913</v>
      </c>
      <c r="F8" s="47">
        <v>24</v>
      </c>
      <c r="G8" s="47">
        <f>A8*3.8</f>
        <v>83.6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3.5" customHeight="1">
      <c r="A9" s="47">
        <v>28</v>
      </c>
      <c r="B9" s="47">
        <v>6</v>
      </c>
      <c r="C9" s="47">
        <v>37</v>
      </c>
      <c r="D9" s="47">
        <f>B9/C9</f>
        <v>0.16216216216216217</v>
      </c>
      <c r="E9" s="47">
        <f>3.8*D9</f>
        <v>0.6162162162162163</v>
      </c>
      <c r="F9" s="47">
        <v>29.5</v>
      </c>
      <c r="G9" s="47">
        <f>A9*3.8</f>
        <v>106.39999999999999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3.5" customHeight="1">
      <c r="A10" s="47">
        <v>30</v>
      </c>
      <c r="B10" s="47">
        <v>2</v>
      </c>
      <c r="C10" s="47">
        <v>12</v>
      </c>
      <c r="D10" s="47">
        <f>B10/C10</f>
        <v>0.16666666666666666</v>
      </c>
      <c r="E10" s="47">
        <f>3.8*D10</f>
        <v>0.6333333333333333</v>
      </c>
      <c r="F10" s="47">
        <v>31</v>
      </c>
      <c r="G10" s="47">
        <f>A10*3.8</f>
        <v>114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3.5" customHeight="1">
      <c r="A11" s="47">
        <v>34</v>
      </c>
      <c r="B11" s="47">
        <v>4</v>
      </c>
      <c r="C11" s="47">
        <v>24</v>
      </c>
      <c r="D11" s="47">
        <f>B11/C11</f>
        <v>0.16666666666666666</v>
      </c>
      <c r="E11" s="47">
        <f>3.8*D11</f>
        <v>0.6333333333333333</v>
      </c>
      <c r="F11" s="47">
        <v>36</v>
      </c>
      <c r="G11" s="47">
        <f>A11*3.8</f>
        <v>129.2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3.5" customHeight="1">
      <c r="A12" s="47">
        <v>35</v>
      </c>
      <c r="B12" s="47">
        <v>1</v>
      </c>
      <c r="C12" s="47">
        <v>6</v>
      </c>
      <c r="D12" s="47">
        <f>B12/C12</f>
        <v>0.16666666666666666</v>
      </c>
      <c r="E12" s="47">
        <f>3.8*D12</f>
        <v>0.6333333333333333</v>
      </c>
      <c r="F12" s="47">
        <v>37.5</v>
      </c>
      <c r="G12" s="47">
        <f>A12*3.8</f>
        <v>133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3.5" customHeight="1">
      <c r="A13" s="47">
        <v>36</v>
      </c>
      <c r="B13" s="47">
        <v>1</v>
      </c>
      <c r="C13" s="47">
        <v>6</v>
      </c>
      <c r="D13" s="47">
        <f>B13/C13</f>
        <v>0.16666666666666666</v>
      </c>
      <c r="E13" s="47">
        <f>3.8*D13</f>
        <v>0.6333333333333333</v>
      </c>
      <c r="F13" s="47">
        <v>39</v>
      </c>
      <c r="G13" s="47">
        <f>A13*3.8</f>
        <v>136.79999999999998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3.5" customHeight="1">
      <c r="A14" s="47">
        <v>37</v>
      </c>
      <c r="B14" s="47">
        <v>1</v>
      </c>
      <c r="C14" s="47">
        <v>6</v>
      </c>
      <c r="D14" s="47">
        <f>B14/C14</f>
        <v>0.16666666666666666</v>
      </c>
      <c r="E14" s="47">
        <f>3.8*D14</f>
        <v>0.6333333333333333</v>
      </c>
      <c r="F14" s="47">
        <v>40</v>
      </c>
      <c r="G14" s="47">
        <f>A14*3.8</f>
        <v>140.6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3.5" customHeight="1">
      <c r="A15" s="47"/>
      <c r="B15" s="85" t="s">
        <v>123</v>
      </c>
      <c r="C15" s="85"/>
      <c r="D15" s="85">
        <f>AVERAGE(D3:D14)</f>
        <v>0.16681633578658753</v>
      </c>
      <c r="E15" s="85">
        <f>AVERAGE(E3:E14)</f>
        <v>0.6339020759890323</v>
      </c>
      <c r="F15" s="85"/>
      <c r="G15" s="94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3.5" customHeight="1">
      <c r="A16" s="47" t="s">
        <v>124</v>
      </c>
      <c r="B16" s="85"/>
      <c r="C16" s="47"/>
      <c r="D16" s="85"/>
      <c r="E16" s="85"/>
      <c r="F16" s="120" t="s">
        <v>125</v>
      </c>
      <c r="G16" s="21">
        <f>(G14-G3)/(F14-F3)</f>
        <v>3.9187499999999997</v>
      </c>
      <c r="H16" s="5" t="s">
        <v>126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3.5" customHeight="1">
      <c r="A17" s="47" t="s">
        <v>127</v>
      </c>
      <c r="B17" s="85"/>
      <c r="C17" s="85"/>
      <c r="D17" s="85"/>
      <c r="E17" s="85"/>
      <c r="F17" s="85"/>
      <c r="G17" s="49">
        <f>G16/3.78</f>
        <v>1.036706349206349</v>
      </c>
      <c r="H17" s="47" t="s">
        <v>128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ht="13.5" customHeight="1">
      <c r="A18" s="47" t="s">
        <v>129</v>
      </c>
      <c r="B18" s="85"/>
      <c r="C18" s="85"/>
      <c r="D18" s="85"/>
      <c r="E18" s="85"/>
      <c r="F18" s="85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ht="13.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3.5" customHeight="1">
      <c r="A20" s="85" t="s">
        <v>130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3.5" customHeight="1">
      <c r="A21" s="47" t="s">
        <v>131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3.5" customHeight="1">
      <c r="A22" s="47" t="s">
        <v>132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3.5" customHeight="1">
      <c r="A23" s="47" t="s">
        <v>133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3.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13.5" customHeight="1">
      <c r="A25" s="47" t="s">
        <v>134</v>
      </c>
      <c r="B25" s="47" t="s">
        <v>135</v>
      </c>
      <c r="C25" s="47" t="s">
        <v>136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3.5" customHeight="1">
      <c r="A26" s="47">
        <v>5</v>
      </c>
      <c r="B26" s="47">
        <v>7.5</v>
      </c>
      <c r="C26" s="47">
        <f>A26*3.785</f>
        <v>18.925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ht="13.5" customHeight="1">
      <c r="A27" s="47">
        <v>10</v>
      </c>
      <c r="B27" s="47">
        <v>9.5</v>
      </c>
      <c r="C27" s="47">
        <f>A27*3.785</f>
        <v>37.85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ht="13.5" customHeight="1">
      <c r="A28" s="47">
        <v>15</v>
      </c>
      <c r="B28" s="47">
        <v>11</v>
      </c>
      <c r="C28" s="47">
        <f>A28*3.785</f>
        <v>56.775000000000006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13.5" customHeight="1">
      <c r="A29" s="47">
        <v>20</v>
      </c>
      <c r="B29" s="47">
        <v>13</v>
      </c>
      <c r="C29" s="47">
        <f>A29*3.785</f>
        <v>75.7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ht="13.5" customHeight="1">
      <c r="A30" s="47">
        <v>30</v>
      </c>
      <c r="B30" s="47">
        <v>17</v>
      </c>
      <c r="C30" s="47">
        <f>A30*3.785</f>
        <v>113.55000000000001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ht="13.5" customHeight="1">
      <c r="A31" s="47">
        <v>40</v>
      </c>
      <c r="B31" s="47">
        <v>22</v>
      </c>
      <c r="C31" s="47">
        <f>A31*3.785</f>
        <v>151.4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ht="13.5" customHeight="1">
      <c r="A32" s="47">
        <v>50</v>
      </c>
      <c r="B32" s="47">
        <v>24</v>
      </c>
      <c r="C32" s="47">
        <f>A32*3.785</f>
        <v>189.25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19" ht="13.5" customHeight="1">
      <c r="A33" s="47">
        <v>60</v>
      </c>
      <c r="B33" s="47">
        <v>27.5</v>
      </c>
      <c r="C33" s="47">
        <f>A33*3.785</f>
        <v>227.10000000000002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 t="s">
        <v>137</v>
      </c>
    </row>
    <row r="34" spans="1:19" ht="13.5" customHeight="1">
      <c r="A34" s="47">
        <v>70</v>
      </c>
      <c r="B34" s="47">
        <v>30</v>
      </c>
      <c r="C34" s="47">
        <f>A34*3.785</f>
        <v>264.95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1:19" ht="13.5" customHeight="1">
      <c r="A35" s="47">
        <v>80</v>
      </c>
      <c r="B35" s="47">
        <v>33</v>
      </c>
      <c r="C35" s="47">
        <f>A35*3.785</f>
        <v>302.8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9" ht="13.5" customHeight="1">
      <c r="A36" s="47">
        <v>90</v>
      </c>
      <c r="B36" s="47">
        <v>38</v>
      </c>
      <c r="C36" s="47">
        <f>A36*3.785</f>
        <v>340.65000000000003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19" ht="13.5" customHeight="1">
      <c r="A37" s="47">
        <v>100</v>
      </c>
      <c r="B37" s="47">
        <v>41</v>
      </c>
      <c r="C37" s="47">
        <f>A37*3.785</f>
        <v>378.5</v>
      </c>
      <c r="D37" s="47"/>
      <c r="E37" s="47"/>
      <c r="F37" s="47"/>
      <c r="G37" s="47"/>
      <c r="H37" s="47" t="s">
        <v>137</v>
      </c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 t="s">
        <v>137</v>
      </c>
    </row>
    <row r="38" spans="1:19" ht="13.5" customHeight="1">
      <c r="A38" s="47">
        <v>110</v>
      </c>
      <c r="B38" s="47">
        <v>45</v>
      </c>
      <c r="C38" s="47">
        <f>A38*3.785</f>
        <v>416.35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19" ht="13.5" customHeight="1">
      <c r="A39" s="47">
        <v>120</v>
      </c>
      <c r="B39" s="47">
        <v>48</v>
      </c>
      <c r="C39" s="47">
        <f>A39*3.785</f>
        <v>454.20000000000005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1:19" ht="13.5" customHeight="1">
      <c r="A40" s="47">
        <v>130</v>
      </c>
      <c r="B40" s="47">
        <v>51.5</v>
      </c>
      <c r="C40" s="47">
        <f>A40*3.785</f>
        <v>492.05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13.5" customHeight="1">
      <c r="A41" s="47">
        <v>140</v>
      </c>
      <c r="B41" s="47">
        <v>55</v>
      </c>
      <c r="C41" s="47">
        <f>A41*3.785</f>
        <v>529.9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ht="13.5" customHeight="1">
      <c r="A42" s="47">
        <v>150</v>
      </c>
      <c r="B42" s="47">
        <v>58</v>
      </c>
      <c r="C42" s="47">
        <f>A42*3.785</f>
        <v>567.75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13.5" customHeight="1">
      <c r="A43" s="47">
        <v>160</v>
      </c>
      <c r="B43" s="47">
        <v>61</v>
      </c>
      <c r="C43" s="47">
        <f>A43*3.785</f>
        <v>605.6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ht="13.5" customHeight="1">
      <c r="A44" s="47">
        <v>166.7</v>
      </c>
      <c r="B44" s="94">
        <v>63</v>
      </c>
      <c r="C44" s="47">
        <f>A44*3.785</f>
        <v>630.9594999999999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ht="13.5" customHeight="1">
      <c r="A45" s="32" t="s">
        <v>138</v>
      </c>
      <c r="B45" s="21">
        <f>(C43-C26)/(B43-B26)</f>
        <v>10.965887850467292</v>
      </c>
      <c r="C45" s="5" t="s">
        <v>126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19" ht="13.5" customHeight="1">
      <c r="A46" s="65" t="s">
        <v>7</v>
      </c>
      <c r="B46" s="49" t="s">
        <v>139</v>
      </c>
      <c r="C46" s="47" t="s">
        <v>16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ht="13.5" customHeight="1">
      <c r="A47" s="47" t="s">
        <v>140</v>
      </c>
      <c r="B47" s="47">
        <f>A44*3.785</f>
        <v>630.9594999999999</v>
      </c>
      <c r="C47" s="47" t="s">
        <v>16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</sheetData>
  <printOptions/>
  <pageMargins left="0.7" right="0.7" top="0.75" bottom="0.75" header="0.5118055555555555" footer="0.5118055555555555"/>
  <pageSetup firstPageNumber="1" useFirstPageNumber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60" zoomScaleNormal="60" workbookViewId="0" topLeftCell="A1">
      <selection activeCell="A1" sqref="A1"/>
    </sheetView>
  </sheetViews>
  <sheetFormatPr defaultColWidth="10.3984375" defaultRowHeight="19.5" customHeight="1"/>
  <cols>
    <col min="1" max="16384" width="10.19921875" style="143" customWidth="1"/>
  </cols>
  <sheetData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Roman,Regular"&amp;12Graphs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2011-10-12T15:29:14Z</dcterms:modified>
  <cp:category/>
  <cp:version/>
  <cp:contentType/>
  <cp:contentStatus/>
  <cp:revision>5</cp:revision>
</cp:coreProperties>
</file>