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charts/chart3.xml" ContentType="application/vnd.openxmlformats-officedocument.drawingml.chart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420" tabRatio="500" activeTab="3"/>
  </bookViews>
  <sheets>
    <sheet name="Data Table" sheetId="1" r:id="rId1"/>
    <sheet name="CTD" sheetId="2" r:id="rId2"/>
    <sheet name="Spreading" sheetId="3" r:id="rId3"/>
    <sheet name="Tables and Figures" sheetId="4" r:id="rId4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71" i="1"/>
  <c r="C60"/>
  <c r="C31"/>
  <c r="F80" i="3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F11"/>
  <c r="E11"/>
  <c r="F10"/>
  <c r="E10"/>
  <c r="F9"/>
  <c r="E9"/>
  <c r="F8"/>
  <c r="E8"/>
  <c r="F7"/>
  <c r="E7"/>
  <c r="F6"/>
  <c r="E6"/>
  <c r="F5"/>
  <c r="F4"/>
  <c r="F3"/>
  <c r="E3"/>
  <c r="F2"/>
  <c r="E2"/>
</calcChain>
</file>

<file path=xl/sharedStrings.xml><?xml version="1.0" encoding="utf-8"?>
<sst xmlns="http://schemas.openxmlformats.org/spreadsheetml/2006/main" count="128" uniqueCount="68">
  <si>
    <t>Date</t>
    <phoneticPr fontId="5" type="noConversion"/>
  </si>
  <si>
    <t>Time</t>
    <phoneticPr fontId="5" type="noConversion"/>
  </si>
  <si>
    <t># of Calls</t>
    <phoneticPr fontId="5" type="noConversion"/>
  </si>
  <si>
    <t xml:space="preserve">Site </t>
    <phoneticPr fontId="5" type="noConversion"/>
  </si>
  <si>
    <t>TL</t>
    <phoneticPr fontId="5" type="noConversion"/>
  </si>
  <si>
    <t xml:space="preserve">Comments </t>
    <phoneticPr fontId="5" type="noConversion"/>
  </si>
  <si>
    <t xml:space="preserve">Avg: </t>
    <phoneticPr fontId="5" type="noConversion"/>
  </si>
  <si>
    <t xml:space="preserve">avg: </t>
    <phoneticPr fontId="5" type="noConversion"/>
  </si>
  <si>
    <t>more clicks than calls</t>
    <phoneticPr fontId="5" type="noConversion"/>
  </si>
  <si>
    <t>avg:</t>
    <phoneticPr fontId="5" type="noConversion"/>
  </si>
  <si>
    <t>Bottom type</t>
    <phoneticPr fontId="5" type="noConversion"/>
  </si>
  <si>
    <t>SS</t>
    <phoneticPr fontId="5" type="noConversion"/>
  </si>
  <si>
    <t>Depth</t>
    <phoneticPr fontId="5" type="noConversion"/>
  </si>
  <si>
    <t xml:space="preserve">Average: </t>
    <phoneticPr fontId="5" type="noConversion"/>
  </si>
  <si>
    <t>Date</t>
    <phoneticPr fontId="5" type="noConversion"/>
  </si>
  <si>
    <t>Gain Setting</t>
    <phoneticPr fontId="5" type="noConversion"/>
  </si>
  <si>
    <t>Log(Dist.)</t>
    <phoneticPr fontId="5" type="noConversion"/>
  </si>
  <si>
    <t>Received level</t>
    <phoneticPr fontId="5" type="noConversion"/>
  </si>
  <si>
    <t>3600 Hz</t>
    <phoneticPr fontId="5" type="noConversion"/>
  </si>
  <si>
    <t>Frequency</t>
    <phoneticPr fontId="5" type="noConversion"/>
  </si>
  <si>
    <t>Distance(m)</t>
    <phoneticPr fontId="5" type="noConversion"/>
  </si>
  <si>
    <t>10000 Hz</t>
    <phoneticPr fontId="5" type="noConversion"/>
  </si>
  <si>
    <t>1000 Hz</t>
    <phoneticPr fontId="5" type="noConversion"/>
  </si>
  <si>
    <t>5000 Hz</t>
    <phoneticPr fontId="5" type="noConversion"/>
  </si>
  <si>
    <t>3600 Hz</t>
    <phoneticPr fontId="5" type="noConversion"/>
  </si>
  <si>
    <t>1000 Hz</t>
    <phoneticPr fontId="5" type="noConversion"/>
  </si>
  <si>
    <t>3600 Hz</t>
    <phoneticPr fontId="5" type="noConversion"/>
  </si>
  <si>
    <t>10000 Hz</t>
    <phoneticPr fontId="5" type="noConversion"/>
  </si>
  <si>
    <t>5000 Hz</t>
    <phoneticPr fontId="5" type="noConversion"/>
  </si>
  <si>
    <t>3600 Hz</t>
    <phoneticPr fontId="5" type="noConversion"/>
  </si>
  <si>
    <t>1000 Hz</t>
    <phoneticPr fontId="5" type="noConversion"/>
  </si>
  <si>
    <t>10000 Hz</t>
    <phoneticPr fontId="5" type="noConversion"/>
  </si>
  <si>
    <t>5000 Hz</t>
    <phoneticPr fontId="5" type="noConversion"/>
  </si>
  <si>
    <t>n/a</t>
    <phoneticPr fontId="5" type="noConversion"/>
  </si>
  <si>
    <t>1000 Hz</t>
    <phoneticPr fontId="5" type="noConversion"/>
  </si>
  <si>
    <t>10000 Hz</t>
    <phoneticPr fontId="5" type="noConversion"/>
  </si>
  <si>
    <t>3600 Hz</t>
    <phoneticPr fontId="5" type="noConversion"/>
  </si>
  <si>
    <t>5000 Hz</t>
    <phoneticPr fontId="5" type="noConversion"/>
  </si>
  <si>
    <t>1000 Hz</t>
    <phoneticPr fontId="5" type="noConversion"/>
  </si>
  <si>
    <t>10000 Hz</t>
    <phoneticPr fontId="5" type="noConversion"/>
  </si>
  <si>
    <t>1000/3600 Hz</t>
    <phoneticPr fontId="5" type="noConversion"/>
  </si>
  <si>
    <t>n/a</t>
    <phoneticPr fontId="5" type="noConversion"/>
  </si>
  <si>
    <t>Bathmetry Category</t>
    <phoneticPr fontId="5" type="noConversion"/>
  </si>
  <si>
    <t>Description</t>
    <phoneticPr fontId="5" type="noConversion"/>
  </si>
  <si>
    <t>shallow and wide</t>
    <phoneticPr fontId="5" type="noConversion"/>
  </si>
  <si>
    <t>shallow and narrow</t>
    <phoneticPr fontId="5" type="noConversion"/>
  </si>
  <si>
    <t>deep and narrow</t>
    <phoneticPr fontId="5" type="noConversion"/>
  </si>
  <si>
    <t>3600 Hz</t>
    <phoneticPr fontId="5" type="noConversion"/>
  </si>
  <si>
    <t>1000 Hz</t>
    <phoneticPr fontId="5" type="noConversion"/>
  </si>
  <si>
    <t>5000 Hz</t>
    <phoneticPr fontId="5" type="noConversion"/>
  </si>
  <si>
    <t>3600 Hz</t>
    <phoneticPr fontId="5" type="noConversion"/>
  </si>
  <si>
    <t>10000 Hz</t>
    <phoneticPr fontId="5" type="noConversion"/>
  </si>
  <si>
    <t>HB</t>
    <phoneticPr fontId="5" type="noConversion"/>
  </si>
  <si>
    <t>TP</t>
    <phoneticPr fontId="5" type="noConversion"/>
  </si>
  <si>
    <t>GB</t>
    <phoneticPr fontId="5" type="noConversion"/>
  </si>
  <si>
    <t>SB</t>
    <phoneticPr fontId="5" type="noConversion"/>
  </si>
  <si>
    <t>SH</t>
    <phoneticPr fontId="5" type="noConversion"/>
  </si>
  <si>
    <t>10000 Hz</t>
    <phoneticPr fontId="5" type="noConversion"/>
  </si>
  <si>
    <t>MH</t>
    <phoneticPr fontId="5" type="noConversion"/>
  </si>
  <si>
    <t>3600 Hz</t>
    <phoneticPr fontId="5" type="noConversion"/>
  </si>
  <si>
    <t>5000 Hz</t>
    <phoneticPr fontId="5" type="noConversion"/>
  </si>
  <si>
    <t>1000 Hz</t>
    <phoneticPr fontId="5" type="noConversion"/>
  </si>
  <si>
    <t>10000 Hz</t>
    <phoneticPr fontId="5" type="noConversion"/>
  </si>
  <si>
    <t>3600 Hz</t>
    <phoneticPr fontId="5" type="noConversion"/>
  </si>
  <si>
    <t>5000 Hz</t>
    <phoneticPr fontId="5" type="noConversion"/>
  </si>
  <si>
    <t>10000 Hz</t>
    <phoneticPr fontId="5" type="noConversion"/>
  </si>
  <si>
    <t>1000 Hz</t>
    <phoneticPr fontId="5" type="noConversion"/>
  </si>
  <si>
    <t>deep and wide</t>
    <phoneticPr fontId="5" type="noConversion"/>
  </si>
</sst>
</file>

<file path=xl/styles.xml><?xml version="1.0" encoding="utf-8"?>
<styleSheet xmlns="http://schemas.openxmlformats.org/spreadsheetml/2006/main">
  <numFmts count="1">
    <numFmt numFmtId="164" formatCode="0.000000"/>
  </numFmts>
  <fonts count="6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21" fontId="0" fillId="0" borderId="0" xfId="0" applyNumberFormat="1"/>
    <xf numFmtId="20" fontId="0" fillId="0" borderId="0" xfId="0" applyNumberFormat="1"/>
    <xf numFmtId="0" fontId="4" fillId="0" borderId="0" xfId="0" applyFont="1"/>
    <xf numFmtId="11" fontId="0" fillId="0" borderId="0" xfId="0" applyNumberFormat="1"/>
    <xf numFmtId="0" fontId="3" fillId="0" borderId="0" xfId="0" applyFont="1"/>
    <xf numFmtId="164" fontId="0" fillId="0" borderId="0" xfId="0" applyNumberFormat="1"/>
    <xf numFmtId="0" fontId="0" fillId="0" borderId="0" xfId="0" applyNumberFormat="1" applyFill="1" applyAlignment="1">
      <alignment wrapText="1"/>
    </xf>
    <xf numFmtId="0" fontId="0" fillId="0" borderId="0" xfId="0" applyNumberFormat="1" applyFont="1" applyFill="1" applyAlignment="1">
      <alignment wrapText="1"/>
    </xf>
    <xf numFmtId="4" fontId="0" fillId="2" borderId="0" xfId="0" applyNumberFormat="1" applyFont="1" applyFill="1" applyAlignment="1">
      <alignment wrapText="1"/>
    </xf>
    <xf numFmtId="0" fontId="0" fillId="2" borderId="0" xfId="0" applyNumberFormat="1" applyFont="1" applyFill="1" applyAlignment="1">
      <alignment wrapText="1"/>
    </xf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050512_SB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666123359580052"/>
                  <c:y val="-0.310242417614465"/>
                </c:manualLayout>
              </c:layout>
              <c:numFmt formatCode="General" sourceLinked="0"/>
            </c:trendlineLbl>
          </c:trendline>
          <c:xVal>
            <c:numRef>
              <c:f>Spreading!$E$2:$E$13</c:f>
              <c:numCache>
                <c:formatCode>General</c:formatCode>
                <c:ptCount val="12"/>
                <c:pt idx="0">
                  <c:v>1.698970004336019</c:v>
                </c:pt>
                <c:pt idx="1">
                  <c:v>1.698970004336019</c:v>
                </c:pt>
                <c:pt idx="2">
                  <c:v>1.69897</c:v>
                </c:pt>
                <c:pt idx="3">
                  <c:v>1.69897</c:v>
                </c:pt>
                <c:pt idx="4">
                  <c:v>2.0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2.301029995663981</c:v>
                </c:pt>
                <c:pt idx="9">
                  <c:v>2.301029995663981</c:v>
                </c:pt>
                <c:pt idx="10">
                  <c:v>2.301029995663981</c:v>
                </c:pt>
                <c:pt idx="11">
                  <c:v>2.301029995663981</c:v>
                </c:pt>
              </c:numCache>
            </c:numRef>
          </c:xVal>
          <c:yVal>
            <c:numRef>
              <c:f>Spreading!$F$2:$F$13</c:f>
              <c:numCache>
                <c:formatCode>General</c:formatCode>
                <c:ptCount val="12"/>
                <c:pt idx="0">
                  <c:v>107.6</c:v>
                </c:pt>
                <c:pt idx="1">
                  <c:v>110.7</c:v>
                </c:pt>
                <c:pt idx="2">
                  <c:v>114.5</c:v>
                </c:pt>
                <c:pt idx="3">
                  <c:v>109.0</c:v>
                </c:pt>
                <c:pt idx="4">
                  <c:v>105.3</c:v>
                </c:pt>
                <c:pt idx="5">
                  <c:v>109.2</c:v>
                </c:pt>
                <c:pt idx="6">
                  <c:v>105.9</c:v>
                </c:pt>
                <c:pt idx="7">
                  <c:v>107.5</c:v>
                </c:pt>
                <c:pt idx="8">
                  <c:v>106.1</c:v>
                </c:pt>
                <c:pt idx="9">
                  <c:v>112.9</c:v>
                </c:pt>
              </c:numCache>
            </c:numRef>
          </c:yVal>
        </c:ser>
        <c:axId val="522475048"/>
        <c:axId val="523177896"/>
      </c:scatterChart>
      <c:valAx>
        <c:axId val="522475048"/>
        <c:scaling>
          <c:logBase val="10.0"/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Log(distance m)</a:t>
                </a:r>
              </a:p>
            </c:rich>
          </c:tx>
          <c:layout/>
        </c:title>
        <c:numFmt formatCode="General" sourceLinked="1"/>
        <c:tickLblPos val="nextTo"/>
        <c:crossAx val="523177896"/>
        <c:crosses val="autoZero"/>
        <c:crossBetween val="midCat"/>
      </c:valAx>
      <c:valAx>
        <c:axId val="523177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receive level</a:t>
                </a:r>
              </a:p>
            </c:rich>
          </c:tx>
          <c:layout/>
        </c:title>
        <c:numFmt formatCode="General" sourceLinked="1"/>
        <c:tickLblPos val="nextTo"/>
        <c:crossAx val="522475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228915135608"/>
          <c:y val="0.450079104695246"/>
          <c:w val="0.251044181977253"/>
          <c:h val="0.1674343832021"/>
        </c:manualLayout>
      </c:layout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051112_SH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667522747156605"/>
                  <c:y val="0.0626374307378244"/>
                </c:manualLayout>
              </c:layout>
              <c:numFmt formatCode="General" sourceLinked="0"/>
            </c:trendlineLbl>
          </c:trendline>
          <c:xVal>
            <c:numRef>
              <c:f>Spreading!$E$30:$E$45</c:f>
              <c:numCache>
                <c:formatCode>General</c:formatCode>
                <c:ptCount val="16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1.698970004336019</c:v>
                </c:pt>
                <c:pt idx="5">
                  <c:v>1.698970004336019</c:v>
                </c:pt>
                <c:pt idx="6">
                  <c:v>1.698970004336019</c:v>
                </c:pt>
                <c:pt idx="7">
                  <c:v>1.698970004336019</c:v>
                </c:pt>
                <c:pt idx="8">
                  <c:v>2.0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2.301029995663981</c:v>
                </c:pt>
                <c:pt idx="13">
                  <c:v>2.301029995663981</c:v>
                </c:pt>
                <c:pt idx="14">
                  <c:v>2.301029995663981</c:v>
                </c:pt>
                <c:pt idx="15">
                  <c:v>2.301029995663981</c:v>
                </c:pt>
              </c:numCache>
            </c:numRef>
          </c:xVal>
          <c:yVal>
            <c:numRef>
              <c:f>Spreading!$F$30:$F$45</c:f>
              <c:numCache>
                <c:formatCode>General</c:formatCode>
                <c:ptCount val="16"/>
                <c:pt idx="0">
                  <c:v>98.5</c:v>
                </c:pt>
                <c:pt idx="1">
                  <c:v>99.1</c:v>
                </c:pt>
                <c:pt idx="2">
                  <c:v>112.9</c:v>
                </c:pt>
                <c:pt idx="3">
                  <c:v>109.5</c:v>
                </c:pt>
                <c:pt idx="4">
                  <c:v>106.3</c:v>
                </c:pt>
                <c:pt idx="5">
                  <c:v>97.5</c:v>
                </c:pt>
                <c:pt idx="6">
                  <c:v>103.5</c:v>
                </c:pt>
                <c:pt idx="7">
                  <c:v>103.4</c:v>
                </c:pt>
                <c:pt idx="8">
                  <c:v>98.1</c:v>
                </c:pt>
                <c:pt idx="9">
                  <c:v>93.2</c:v>
                </c:pt>
                <c:pt idx="10">
                  <c:v>96.2</c:v>
                </c:pt>
                <c:pt idx="11">
                  <c:v>94.6</c:v>
                </c:pt>
                <c:pt idx="12">
                  <c:v>95.1</c:v>
                </c:pt>
                <c:pt idx="13">
                  <c:v>95.7</c:v>
                </c:pt>
                <c:pt idx="14">
                  <c:v>94.8</c:v>
                </c:pt>
                <c:pt idx="15">
                  <c:v>93.7</c:v>
                </c:pt>
              </c:numCache>
            </c:numRef>
          </c:yVal>
        </c:ser>
        <c:axId val="523219032"/>
        <c:axId val="476362888"/>
      </c:scatterChart>
      <c:valAx>
        <c:axId val="523219032"/>
        <c:scaling>
          <c:logBase val="10.0"/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Log(distance m)</a:t>
                </a:r>
              </a:p>
            </c:rich>
          </c:tx>
          <c:layout/>
        </c:title>
        <c:numFmt formatCode="General" sourceLinked="1"/>
        <c:tickLblPos val="nextTo"/>
        <c:crossAx val="476362888"/>
        <c:crosses val="autoZero"/>
        <c:crossBetween val="midCat"/>
      </c:valAx>
      <c:valAx>
        <c:axId val="476362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Received level</a:t>
                </a:r>
              </a:p>
            </c:rich>
          </c:tx>
          <c:layout/>
        </c:title>
        <c:numFmt formatCode="General" sourceLinked="1"/>
        <c:tickLblPos val="nextTo"/>
        <c:crossAx val="523219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051312_HB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716666666666667"/>
                  <c:y val="-0.232774132400117"/>
                </c:manualLayout>
              </c:layout>
              <c:numFmt formatCode="General" sourceLinked="0"/>
            </c:trendlineLbl>
          </c:trendline>
          <c:xVal>
            <c:numRef>
              <c:f>Spreading!$E$53:$E$60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</c:numCache>
            </c:numRef>
          </c:xVal>
          <c:yVal>
            <c:numRef>
              <c:f>Spreading!$F$53:$F$60</c:f>
              <c:numCache>
                <c:formatCode>General</c:formatCode>
                <c:ptCount val="8"/>
                <c:pt idx="0">
                  <c:v>122.6</c:v>
                </c:pt>
                <c:pt idx="1">
                  <c:v>122.3</c:v>
                </c:pt>
                <c:pt idx="2">
                  <c:v>121.5</c:v>
                </c:pt>
                <c:pt idx="3">
                  <c:v>119.3</c:v>
                </c:pt>
                <c:pt idx="4">
                  <c:v>118.0</c:v>
                </c:pt>
                <c:pt idx="5">
                  <c:v>118.8</c:v>
                </c:pt>
                <c:pt idx="6">
                  <c:v>121.0</c:v>
                </c:pt>
                <c:pt idx="7">
                  <c:v>119.7</c:v>
                </c:pt>
              </c:numCache>
            </c:numRef>
          </c:yVal>
        </c:ser>
        <c:axId val="542275416"/>
        <c:axId val="476876504"/>
      </c:scatterChart>
      <c:valAx>
        <c:axId val="542275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Log(distance m)</a:t>
                </a:r>
              </a:p>
            </c:rich>
          </c:tx>
          <c:layout/>
        </c:title>
        <c:numFmt formatCode="General" sourceLinked="1"/>
        <c:tickLblPos val="nextTo"/>
        <c:crossAx val="476876504"/>
        <c:crosses val="autoZero"/>
        <c:crossBetween val="midCat"/>
      </c:valAx>
      <c:valAx>
        <c:axId val="476876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received level</a:t>
                </a:r>
              </a:p>
            </c:rich>
          </c:tx>
          <c:layout/>
        </c:title>
        <c:numFmt formatCode="General" sourceLinked="1"/>
        <c:tickLblPos val="nextTo"/>
        <c:crossAx val="5422754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051312_MH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73936351706037"/>
                  <c:y val="0.082134004082823"/>
                </c:manualLayout>
              </c:layout>
              <c:numFmt formatCode="General" sourceLinked="0"/>
            </c:trendlineLbl>
          </c:trendline>
          <c:xVal>
            <c:numRef>
              <c:f>Spreading!$E$61:$E$80</c:f>
              <c:numCache>
                <c:formatCode>General</c:formatCode>
                <c:ptCount val="2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1.698970004336019</c:v>
                </c:pt>
                <c:pt idx="9">
                  <c:v>1.698970004336019</c:v>
                </c:pt>
                <c:pt idx="10">
                  <c:v>1.698970004336019</c:v>
                </c:pt>
                <c:pt idx="11">
                  <c:v>1.698970004336019</c:v>
                </c:pt>
                <c:pt idx="12">
                  <c:v>2.0</c:v>
                </c:pt>
                <c:pt idx="13">
                  <c:v>2.0</c:v>
                </c:pt>
                <c:pt idx="14">
                  <c:v>2.0</c:v>
                </c:pt>
                <c:pt idx="15">
                  <c:v>2.0</c:v>
                </c:pt>
                <c:pt idx="16">
                  <c:v>2.301029995663981</c:v>
                </c:pt>
                <c:pt idx="17">
                  <c:v>2.301029995663981</c:v>
                </c:pt>
                <c:pt idx="18">
                  <c:v>2.301029995663981</c:v>
                </c:pt>
                <c:pt idx="19">
                  <c:v>2.301029995663981</c:v>
                </c:pt>
              </c:numCache>
            </c:numRef>
          </c:xVal>
          <c:yVal>
            <c:numRef>
              <c:f>Spreading!$F$61:$F$80</c:f>
              <c:numCache>
                <c:formatCode>General</c:formatCode>
                <c:ptCount val="20"/>
                <c:pt idx="0">
                  <c:v>116.9</c:v>
                </c:pt>
                <c:pt idx="1">
                  <c:v>116.8</c:v>
                </c:pt>
                <c:pt idx="2">
                  <c:v>116.5</c:v>
                </c:pt>
                <c:pt idx="3">
                  <c:v>125.4</c:v>
                </c:pt>
                <c:pt idx="4">
                  <c:v>113.7</c:v>
                </c:pt>
                <c:pt idx="5">
                  <c:v>117.6</c:v>
                </c:pt>
                <c:pt idx="6">
                  <c:v>107.1</c:v>
                </c:pt>
                <c:pt idx="7">
                  <c:v>112.8</c:v>
                </c:pt>
                <c:pt idx="8">
                  <c:v>107.3</c:v>
                </c:pt>
                <c:pt idx="9">
                  <c:v>111.7</c:v>
                </c:pt>
                <c:pt idx="10">
                  <c:v>112.1</c:v>
                </c:pt>
                <c:pt idx="11">
                  <c:v>114.6</c:v>
                </c:pt>
                <c:pt idx="12">
                  <c:v>113.1</c:v>
                </c:pt>
                <c:pt idx="13">
                  <c:v>112.0</c:v>
                </c:pt>
                <c:pt idx="14">
                  <c:v>113.8</c:v>
                </c:pt>
                <c:pt idx="15">
                  <c:v>101.1</c:v>
                </c:pt>
                <c:pt idx="16">
                  <c:v>114.7</c:v>
                </c:pt>
                <c:pt idx="17">
                  <c:v>119.7</c:v>
                </c:pt>
                <c:pt idx="18">
                  <c:v>116.6</c:v>
                </c:pt>
                <c:pt idx="19">
                  <c:v>113.6</c:v>
                </c:pt>
              </c:numCache>
            </c:numRef>
          </c:yVal>
        </c:ser>
        <c:axId val="476981912"/>
        <c:axId val="541463016"/>
      </c:scatterChart>
      <c:valAx>
        <c:axId val="476981912"/>
        <c:scaling>
          <c:logBase val="10.0"/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Log(distance m)</a:t>
                </a:r>
              </a:p>
            </c:rich>
          </c:tx>
          <c:layout/>
        </c:title>
        <c:numFmt formatCode="General" sourceLinked="1"/>
        <c:tickLblPos val="nextTo"/>
        <c:crossAx val="541463016"/>
        <c:crosses val="autoZero"/>
        <c:crossBetween val="midCat"/>
      </c:valAx>
      <c:valAx>
        <c:axId val="541463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Received Level dB</a:t>
                </a:r>
              </a:p>
            </c:rich>
          </c:tx>
          <c:layout/>
        </c:title>
        <c:numFmt formatCode="General" sourceLinked="1"/>
        <c:tickLblPos val="nextTo"/>
        <c:crossAx val="4769819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21</xdr:row>
      <xdr:rowOff>0</xdr:rowOff>
    </xdr:from>
    <xdr:to>
      <xdr:col>5</xdr:col>
      <xdr:colOff>152400</xdr:colOff>
      <xdr:row>37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444500</xdr:colOff>
      <xdr:row>0</xdr:row>
      <xdr:rowOff>152400</xdr:rowOff>
    </xdr:from>
    <xdr:to>
      <xdr:col>5</xdr:col>
      <xdr:colOff>254000</xdr:colOff>
      <xdr:row>17</xdr:row>
      <xdr:rowOff>88900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762000</xdr:colOff>
      <xdr:row>51</xdr:row>
      <xdr:rowOff>0</xdr:rowOff>
    </xdr:from>
    <xdr:to>
      <xdr:col>5</xdr:col>
      <xdr:colOff>571500</xdr:colOff>
      <xdr:row>67</xdr:row>
      <xdr:rowOff>101600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469900</xdr:colOff>
      <xdr:row>69</xdr:row>
      <xdr:rowOff>12700</xdr:rowOff>
    </xdr:from>
    <xdr:to>
      <xdr:col>5</xdr:col>
      <xdr:colOff>279400</xdr:colOff>
      <xdr:row>85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71"/>
  <sheetViews>
    <sheetView view="pageLayout" topLeftCell="D1" workbookViewId="0">
      <selection activeCell="M15" sqref="M15"/>
    </sheetView>
  </sheetViews>
  <sheetFormatPr baseColWidth="10" defaultRowHeight="13"/>
  <cols>
    <col min="1" max="1" width="6.5703125" customWidth="1"/>
    <col min="2" max="2" width="7.7109375" customWidth="1"/>
    <col min="3" max="3" width="8.42578125" customWidth="1"/>
    <col min="4" max="4" width="5" customWidth="1"/>
    <col min="5" max="5" width="5.7109375" customWidth="1"/>
    <col min="6" max="6" width="9.42578125" customWidth="1"/>
    <col min="7" max="7" width="7.85546875" customWidth="1"/>
    <col min="8" max="8" width="15.140625" customWidth="1"/>
    <col min="9" max="9" width="31.85546875" customWidth="1"/>
    <col min="10" max="10" width="16.5703125" customWidth="1"/>
  </cols>
  <sheetData>
    <row r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12</v>
      </c>
      <c r="F1" s="4" t="s">
        <v>11</v>
      </c>
      <c r="G1" s="4" t="s">
        <v>4</v>
      </c>
      <c r="H1" s="4" t="s">
        <v>10</v>
      </c>
      <c r="I1" s="4" t="s">
        <v>5</v>
      </c>
      <c r="J1" s="8"/>
      <c r="K1" s="9"/>
      <c r="L1" s="9"/>
      <c r="M1" s="9"/>
      <c r="N1" s="10"/>
      <c r="O1" s="10"/>
    </row>
    <row r="2" spans="1:15">
      <c r="A2" s="1">
        <v>39571</v>
      </c>
      <c r="B2" s="2">
        <v>0.51944444444444449</v>
      </c>
      <c r="C2">
        <v>0</v>
      </c>
      <c r="F2" s="5"/>
      <c r="I2" t="s">
        <v>8</v>
      </c>
      <c r="J2" s="8"/>
      <c r="K2" s="9"/>
      <c r="L2" s="9"/>
      <c r="M2" s="9"/>
      <c r="N2" s="10"/>
      <c r="O2" s="10"/>
    </row>
    <row r="3" spans="1:15">
      <c r="B3" s="3">
        <v>0.52013888888888882</v>
      </c>
      <c r="C3">
        <v>0</v>
      </c>
      <c r="J3" s="8"/>
      <c r="K3" s="9"/>
      <c r="L3" s="9"/>
      <c r="M3" s="9"/>
      <c r="N3" s="10"/>
      <c r="O3" s="10"/>
    </row>
    <row r="4" spans="1:15">
      <c r="B4" s="3">
        <v>0.52083333333333337</v>
      </c>
      <c r="C4">
        <v>0</v>
      </c>
      <c r="J4" s="8"/>
      <c r="K4" s="9"/>
      <c r="L4" s="9"/>
      <c r="M4" s="9"/>
      <c r="N4" s="10"/>
      <c r="O4" s="10"/>
    </row>
    <row r="5" spans="1:15">
      <c r="B5" s="3">
        <v>0.52152777777777781</v>
      </c>
      <c r="C5">
        <v>0</v>
      </c>
      <c r="J5" s="8"/>
      <c r="K5" s="9"/>
      <c r="L5" s="9"/>
      <c r="M5" s="9"/>
      <c r="N5" s="11"/>
      <c r="O5" s="11"/>
    </row>
    <row r="6" spans="1:15">
      <c r="B6" s="3">
        <v>0.52222222222222225</v>
      </c>
      <c r="C6">
        <v>0</v>
      </c>
      <c r="J6" s="8"/>
      <c r="K6" s="9"/>
      <c r="L6" s="9"/>
      <c r="M6" s="9"/>
      <c r="N6" s="11"/>
      <c r="O6" s="11"/>
    </row>
    <row r="7" spans="1:15">
      <c r="B7" s="3">
        <v>0.5229166666666667</v>
      </c>
      <c r="C7">
        <v>0</v>
      </c>
      <c r="J7" s="8"/>
      <c r="K7" s="9"/>
      <c r="L7" s="9"/>
      <c r="M7" s="9"/>
      <c r="N7" s="11"/>
      <c r="O7" s="11"/>
    </row>
    <row r="8" spans="1:15">
      <c r="B8" s="3">
        <v>0.52361111111111114</v>
      </c>
      <c r="C8">
        <v>0</v>
      </c>
      <c r="J8" s="8"/>
      <c r="K8" s="9"/>
      <c r="L8" s="9"/>
      <c r="M8" s="9"/>
      <c r="N8" s="11"/>
      <c r="O8" s="11"/>
    </row>
    <row r="9" spans="1:15">
      <c r="B9" s="3">
        <v>0.52430555555555558</v>
      </c>
      <c r="C9">
        <v>1</v>
      </c>
      <c r="J9" s="8"/>
      <c r="K9" s="9"/>
      <c r="L9" s="9"/>
      <c r="M9" s="9"/>
      <c r="N9" s="11"/>
      <c r="O9" s="11"/>
    </row>
    <row r="10" spans="1:15">
      <c r="B10" s="3">
        <v>0.52500000000000002</v>
      </c>
      <c r="C10">
        <v>0</v>
      </c>
      <c r="J10" s="8"/>
      <c r="K10" s="9"/>
      <c r="L10" s="9"/>
      <c r="M10" s="9"/>
      <c r="N10" s="11"/>
      <c r="O10" s="11"/>
    </row>
    <row r="11" spans="1:15">
      <c r="B11" s="3">
        <v>0.52569444444444446</v>
      </c>
      <c r="C11">
        <v>0</v>
      </c>
      <c r="J11" s="8"/>
      <c r="K11" s="9"/>
      <c r="L11" s="9"/>
      <c r="M11" s="9"/>
      <c r="N11" s="11"/>
      <c r="O11" s="11"/>
    </row>
    <row r="12" spans="1:15">
      <c r="B12" s="3">
        <v>0.52638888888888891</v>
      </c>
      <c r="C12">
        <v>0</v>
      </c>
      <c r="J12" s="8"/>
      <c r="K12" s="9"/>
      <c r="L12" s="9"/>
      <c r="M12" s="9"/>
      <c r="N12" s="11"/>
      <c r="O12" s="11"/>
    </row>
    <row r="13" spans="1:15">
      <c r="B13" s="3">
        <v>0.52708333333333335</v>
      </c>
      <c r="C13">
        <v>0</v>
      </c>
    </row>
    <row r="14" spans="1:15">
      <c r="B14" s="3">
        <v>0.52777777777777779</v>
      </c>
      <c r="C14">
        <v>0</v>
      </c>
    </row>
    <row r="15" spans="1:15">
      <c r="B15" s="3">
        <v>0.52847222222222223</v>
      </c>
      <c r="C15">
        <v>0</v>
      </c>
    </row>
    <row r="16" spans="1:15">
      <c r="B16" s="3">
        <v>0.52916666666666667</v>
      </c>
      <c r="C16">
        <v>0</v>
      </c>
    </row>
    <row r="17" spans="1:3">
      <c r="B17" s="3">
        <v>0.52986111111111112</v>
      </c>
      <c r="C17">
        <v>0</v>
      </c>
    </row>
    <row r="18" spans="1:3">
      <c r="B18" s="3">
        <v>0.53055555555555556</v>
      </c>
      <c r="C18">
        <v>0</v>
      </c>
    </row>
    <row r="19" spans="1:3">
      <c r="B19" s="3">
        <v>0.53125</v>
      </c>
      <c r="C19">
        <v>0</v>
      </c>
    </row>
    <row r="20" spans="1:3">
      <c r="B20" s="3">
        <v>0.53194444444444444</v>
      </c>
      <c r="C20">
        <v>0</v>
      </c>
    </row>
    <row r="21" spans="1:3">
      <c r="B21" s="3">
        <v>0.53263888888888888</v>
      </c>
      <c r="C21">
        <v>0</v>
      </c>
    </row>
    <row r="22" spans="1:3">
      <c r="B22" s="3">
        <v>0.53333333333333333</v>
      </c>
      <c r="C22">
        <v>0</v>
      </c>
    </row>
    <row r="23" spans="1:3">
      <c r="B23" s="3">
        <v>0.53402777777777777</v>
      </c>
      <c r="C23">
        <v>0</v>
      </c>
    </row>
    <row r="24" spans="1:3">
      <c r="B24" s="3">
        <v>0.53472222222222221</v>
      </c>
      <c r="C24">
        <v>1</v>
      </c>
    </row>
    <row r="25" spans="1:3">
      <c r="B25" s="3">
        <v>0.53541666666666665</v>
      </c>
      <c r="C25">
        <v>0</v>
      </c>
    </row>
    <row r="26" spans="1:3">
      <c r="B26" s="3">
        <v>0.53611111111111109</v>
      </c>
      <c r="C26">
        <v>0</v>
      </c>
    </row>
    <row r="27" spans="1:3">
      <c r="B27" s="3">
        <v>0.53680555555555554</v>
      </c>
      <c r="C27">
        <v>0</v>
      </c>
    </row>
    <row r="28" spans="1:3">
      <c r="B28" s="3">
        <v>0.53749999999999998</v>
      </c>
      <c r="C28">
        <v>0</v>
      </c>
    </row>
    <row r="29" spans="1:3">
      <c r="B29" s="3">
        <v>0.53819444444444442</v>
      </c>
      <c r="C29">
        <v>0</v>
      </c>
    </row>
    <row r="30" spans="1:3">
      <c r="B30" s="3">
        <v>0.53888888888888886</v>
      </c>
      <c r="C30">
        <v>0</v>
      </c>
    </row>
    <row r="31" spans="1:3" ht="15" customHeight="1">
      <c r="A31" s="4" t="s">
        <v>6</v>
      </c>
      <c r="C31">
        <f>AVERAGE(C2:C30)</f>
        <v>6.8965517241379309E-2</v>
      </c>
    </row>
    <row r="33" spans="1:6">
      <c r="A33" s="1">
        <v>39571</v>
      </c>
      <c r="B33" s="3">
        <v>0.56736111111111109</v>
      </c>
      <c r="C33">
        <v>7</v>
      </c>
      <c r="F33" s="7"/>
    </row>
    <row r="34" spans="1:6">
      <c r="B34" s="3">
        <v>0.56805555555555554</v>
      </c>
      <c r="C34">
        <v>4</v>
      </c>
    </row>
    <row r="35" spans="1:6">
      <c r="B35" s="3">
        <v>0.56874999999999998</v>
      </c>
      <c r="C35">
        <v>4</v>
      </c>
    </row>
    <row r="36" spans="1:6">
      <c r="B36" s="3">
        <v>0.56944444444444442</v>
      </c>
      <c r="C36">
        <v>1</v>
      </c>
    </row>
    <row r="37" spans="1:6">
      <c r="B37" s="3">
        <v>0.57013888888888886</v>
      </c>
      <c r="C37">
        <v>0</v>
      </c>
    </row>
    <row r="38" spans="1:6">
      <c r="B38" s="3">
        <v>0.5708333333333333</v>
      </c>
      <c r="C38">
        <v>0</v>
      </c>
    </row>
    <row r="39" spans="1:6">
      <c r="B39" s="3">
        <v>0.57152777777777775</v>
      </c>
      <c r="C39">
        <v>0</v>
      </c>
    </row>
    <row r="40" spans="1:6">
      <c r="B40" s="3">
        <v>0.57222222222222219</v>
      </c>
      <c r="C40">
        <v>4</v>
      </c>
    </row>
    <row r="41" spans="1:6">
      <c r="B41" s="3">
        <v>0.57291666666666663</v>
      </c>
      <c r="C41">
        <v>4</v>
      </c>
    </row>
    <row r="42" spans="1:6">
      <c r="B42" s="3">
        <v>0.57361111111111118</v>
      </c>
      <c r="C42">
        <v>0</v>
      </c>
    </row>
    <row r="43" spans="1:6">
      <c r="B43" s="3">
        <v>0.57430555555555551</v>
      </c>
      <c r="C43">
        <v>0</v>
      </c>
    </row>
    <row r="44" spans="1:6">
      <c r="B44" s="3">
        <v>0.57500000000000007</v>
      </c>
      <c r="C44">
        <v>0</v>
      </c>
    </row>
    <row r="45" spans="1:6">
      <c r="B45" s="3">
        <v>0.5756944444444444</v>
      </c>
      <c r="C45">
        <v>0</v>
      </c>
    </row>
    <row r="46" spans="1:6">
      <c r="B46" s="3">
        <v>0.57638888888888895</v>
      </c>
      <c r="C46">
        <v>0</v>
      </c>
    </row>
    <row r="47" spans="1:6">
      <c r="B47" s="3">
        <v>0.57708333333333328</v>
      </c>
      <c r="C47">
        <v>0</v>
      </c>
    </row>
    <row r="48" spans="1:6">
      <c r="B48" s="3">
        <v>0.57777777777777783</v>
      </c>
      <c r="C48">
        <v>0</v>
      </c>
    </row>
    <row r="49" spans="1:3">
      <c r="B49" s="3">
        <v>0.57847222222222217</v>
      </c>
      <c r="C49">
        <v>0</v>
      </c>
    </row>
    <row r="50" spans="1:3">
      <c r="B50" s="3">
        <v>0.57916666666666672</v>
      </c>
      <c r="C50">
        <v>0</v>
      </c>
    </row>
    <row r="51" spans="1:3">
      <c r="B51" s="3">
        <v>0.57986111111111105</v>
      </c>
      <c r="C51">
        <v>0</v>
      </c>
    </row>
    <row r="52" spans="1:3">
      <c r="B52" s="3">
        <v>0.5805555555555556</v>
      </c>
      <c r="C52">
        <v>0</v>
      </c>
    </row>
    <row r="53" spans="1:3">
      <c r="B53" s="3">
        <v>0.58124999999999993</v>
      </c>
      <c r="C53">
        <v>0</v>
      </c>
    </row>
    <row r="54" spans="1:3">
      <c r="B54" s="3">
        <v>0.58194444444444449</v>
      </c>
      <c r="C54">
        <v>0</v>
      </c>
    </row>
    <row r="55" spans="1:3">
      <c r="B55" s="3">
        <v>0.58263888888888882</v>
      </c>
      <c r="C55">
        <v>0</v>
      </c>
    </row>
    <row r="56" spans="1:3">
      <c r="B56" s="3">
        <v>0.58333333333333337</v>
      </c>
      <c r="C56">
        <v>0</v>
      </c>
    </row>
    <row r="57" spans="1:3">
      <c r="B57" s="3">
        <v>0.58402777777777781</v>
      </c>
      <c r="C57">
        <v>0</v>
      </c>
    </row>
    <row r="58" spans="1:3">
      <c r="B58" s="3">
        <v>0.58472222222222225</v>
      </c>
      <c r="C58">
        <v>0</v>
      </c>
    </row>
    <row r="59" spans="1:3">
      <c r="B59" s="3">
        <v>0.5854166666666667</v>
      </c>
      <c r="C59">
        <v>0</v>
      </c>
    </row>
    <row r="60" spans="1:3">
      <c r="A60" s="4" t="s">
        <v>7</v>
      </c>
      <c r="C60">
        <f>AVERAGE(C33:C59)</f>
        <v>0.88888888888888884</v>
      </c>
    </row>
    <row r="62" spans="1:3">
      <c r="A62" s="1">
        <v>39571</v>
      </c>
      <c r="B62" s="3">
        <v>0.61458333333333337</v>
      </c>
      <c r="C62">
        <v>0</v>
      </c>
    </row>
    <row r="63" spans="1:3">
      <c r="B63" s="3">
        <v>0.61527777777777781</v>
      </c>
      <c r="C63">
        <v>0</v>
      </c>
    </row>
    <row r="64" spans="1:3">
      <c r="B64" s="3">
        <v>0.61597222222222225</v>
      </c>
      <c r="C64">
        <v>0</v>
      </c>
    </row>
    <row r="65" spans="1:3">
      <c r="B65" s="3">
        <v>0.6166666666666667</v>
      </c>
      <c r="C65">
        <v>0</v>
      </c>
    </row>
    <row r="66" spans="1:3">
      <c r="B66" s="3">
        <v>0.61736111111111114</v>
      </c>
      <c r="C66">
        <v>0</v>
      </c>
    </row>
    <row r="67" spans="1:3">
      <c r="B67" s="3">
        <v>0.61805555555555558</v>
      </c>
      <c r="C67">
        <v>0</v>
      </c>
    </row>
    <row r="68" spans="1:3">
      <c r="B68" s="3">
        <v>0.61875000000000002</v>
      </c>
      <c r="C68">
        <v>0</v>
      </c>
    </row>
    <row r="69" spans="1:3">
      <c r="B69" s="3">
        <v>0.61944444444444446</v>
      </c>
      <c r="C69">
        <v>0</v>
      </c>
    </row>
    <row r="70" spans="1:3">
      <c r="B70" s="3">
        <v>0.62013888888888891</v>
      </c>
      <c r="C70">
        <v>0</v>
      </c>
    </row>
    <row r="71" spans="1:3">
      <c r="A71" s="4" t="s">
        <v>9</v>
      </c>
      <c r="B71" s="3"/>
      <c r="C71">
        <f>AVERAGE(C62:C70)</f>
        <v>0</v>
      </c>
    </row>
  </sheetData>
  <sheetCalcPr fullCalcOnLoad="1"/>
  <phoneticPr fontId="5" type="noConversion"/>
  <pageMargins left="0.75" right="0.75" top="1" bottom="1" header="0.5" footer="0.5"/>
  <pageSetup paperSize="0"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O434"/>
  <sheetViews>
    <sheetView view="pageLayout" workbookViewId="0"/>
  </sheetViews>
  <sheetFormatPr baseColWidth="10" defaultRowHeight="13"/>
  <sheetData>
    <row r="1" spans="2:15">
      <c r="B1" s="6"/>
      <c r="D1" s="6"/>
      <c r="E1" s="6"/>
      <c r="F1" s="6"/>
      <c r="H1" s="6"/>
      <c r="J1" s="6"/>
      <c r="L1" s="6"/>
      <c r="N1" s="6"/>
    </row>
    <row r="3" spans="2:15">
      <c r="C3" s="5"/>
      <c r="E3" s="5"/>
      <c r="G3" s="5"/>
      <c r="I3" s="5"/>
      <c r="K3" s="5"/>
      <c r="O3" s="5"/>
    </row>
    <row r="109" spans="11:11">
      <c r="K109" s="5"/>
    </row>
    <row r="127" spans="5:5">
      <c r="E127" s="5"/>
    </row>
    <row r="131" spans="11:11">
      <c r="K131" s="5"/>
    </row>
    <row r="201" spans="7:7">
      <c r="G201" s="5"/>
    </row>
    <row r="243" spans="10:11">
      <c r="J243" s="5"/>
      <c r="K243" s="5"/>
    </row>
    <row r="434" spans="1:10">
      <c r="A434" s="6" t="s">
        <v>13</v>
      </c>
      <c r="C434" s="5"/>
      <c r="E434" s="5"/>
      <c r="G434" s="5"/>
      <c r="H434" s="5"/>
      <c r="I434" s="5"/>
      <c r="J434" s="5"/>
    </row>
  </sheetData>
  <sheetCalcPr fullCalcOnLoad="1"/>
  <phoneticPr fontId="5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80"/>
  <sheetViews>
    <sheetView view="pageLayout" topLeftCell="A60" workbookViewId="0">
      <selection activeCell="E61" sqref="E61:F80"/>
    </sheetView>
  </sheetViews>
  <sheetFormatPr baseColWidth="10" defaultRowHeight="13"/>
  <cols>
    <col min="6" max="6" width="12.85546875" customWidth="1"/>
  </cols>
  <sheetData>
    <row r="1" spans="1:6">
      <c r="A1" s="12" t="s">
        <v>14</v>
      </c>
      <c r="B1" s="12" t="s">
        <v>19</v>
      </c>
      <c r="C1" s="12" t="s">
        <v>20</v>
      </c>
      <c r="D1" s="12" t="s">
        <v>15</v>
      </c>
      <c r="E1" s="12" t="s">
        <v>16</v>
      </c>
      <c r="F1" s="12" t="s">
        <v>17</v>
      </c>
    </row>
    <row r="2" spans="1:6">
      <c r="A2" s="1">
        <v>39572</v>
      </c>
      <c r="B2" s="13" t="s">
        <v>18</v>
      </c>
      <c r="C2">
        <v>50</v>
      </c>
      <c r="D2">
        <v>122</v>
      </c>
      <c r="E2">
        <f>LOG10(C2)</f>
        <v>1.6989700043360187</v>
      </c>
      <c r="F2">
        <f>D2-14.4</f>
        <v>107.6</v>
      </c>
    </row>
    <row r="3" spans="1:6">
      <c r="A3" s="13" t="s">
        <v>55</v>
      </c>
      <c r="B3" s="13" t="s">
        <v>21</v>
      </c>
      <c r="C3">
        <v>50</v>
      </c>
      <c r="D3">
        <v>122</v>
      </c>
      <c r="E3">
        <f>LOG10(C3)</f>
        <v>1.6989700043360187</v>
      </c>
      <c r="F3">
        <f>D3-11.3</f>
        <v>110.7</v>
      </c>
    </row>
    <row r="4" spans="1:6">
      <c r="B4" s="13" t="s">
        <v>22</v>
      </c>
      <c r="C4">
        <v>50</v>
      </c>
      <c r="D4">
        <v>122</v>
      </c>
      <c r="E4">
        <v>1.6989700000000001</v>
      </c>
      <c r="F4">
        <f>D4-7.5</f>
        <v>114.5</v>
      </c>
    </row>
    <row r="5" spans="1:6">
      <c r="B5" s="13" t="s">
        <v>23</v>
      </c>
      <c r="C5">
        <v>50</v>
      </c>
      <c r="D5">
        <v>122</v>
      </c>
      <c r="E5">
        <v>1.6989700000000001</v>
      </c>
      <c r="F5">
        <f>D5-13</f>
        <v>109</v>
      </c>
    </row>
    <row r="6" spans="1:6">
      <c r="B6" s="13" t="s">
        <v>24</v>
      </c>
      <c r="C6">
        <v>100</v>
      </c>
      <c r="D6">
        <v>122</v>
      </c>
      <c r="E6">
        <f>LOG10(C6)</f>
        <v>2</v>
      </c>
      <c r="F6">
        <f>D6-16.7</f>
        <v>105.3</v>
      </c>
    </row>
    <row r="7" spans="1:6">
      <c r="B7" s="13" t="s">
        <v>21</v>
      </c>
      <c r="C7">
        <v>100</v>
      </c>
      <c r="D7">
        <v>122</v>
      </c>
      <c r="E7">
        <f t="shared" ref="E7:E9" si="0">LOG10(C7)</f>
        <v>2</v>
      </c>
      <c r="F7">
        <f>D7-12.8</f>
        <v>109.2</v>
      </c>
    </row>
    <row r="8" spans="1:6">
      <c r="B8" s="13" t="s">
        <v>25</v>
      </c>
      <c r="C8">
        <v>100</v>
      </c>
      <c r="D8">
        <v>122</v>
      </c>
      <c r="E8">
        <f t="shared" si="0"/>
        <v>2</v>
      </c>
      <c r="F8">
        <f>D8-16.1</f>
        <v>105.9</v>
      </c>
    </row>
    <row r="9" spans="1:6">
      <c r="B9" s="13" t="s">
        <v>23</v>
      </c>
      <c r="C9">
        <v>100</v>
      </c>
      <c r="D9">
        <v>122</v>
      </c>
      <c r="E9">
        <f t="shared" si="0"/>
        <v>2</v>
      </c>
      <c r="F9">
        <f>D9-14.5</f>
        <v>107.5</v>
      </c>
    </row>
    <row r="10" spans="1:6">
      <c r="B10" s="13" t="s">
        <v>24</v>
      </c>
      <c r="C10">
        <v>200</v>
      </c>
      <c r="D10">
        <v>122</v>
      </c>
      <c r="E10">
        <f>LOG10(C10)</f>
        <v>2.3010299956639813</v>
      </c>
      <c r="F10">
        <f>D10-15.9</f>
        <v>106.1</v>
      </c>
    </row>
    <row r="11" spans="1:6">
      <c r="B11" s="13" t="s">
        <v>21</v>
      </c>
      <c r="C11">
        <v>200</v>
      </c>
      <c r="D11">
        <v>122</v>
      </c>
      <c r="E11">
        <f t="shared" ref="E11:E21" si="1">LOG10(C11)</f>
        <v>2.3010299956639813</v>
      </c>
      <c r="F11">
        <f>D11-9.1</f>
        <v>112.9</v>
      </c>
    </row>
    <row r="12" spans="1:6">
      <c r="B12" s="13" t="s">
        <v>25</v>
      </c>
      <c r="C12">
        <v>200</v>
      </c>
      <c r="D12">
        <v>122</v>
      </c>
      <c r="E12">
        <f t="shared" si="1"/>
        <v>2.3010299956639813</v>
      </c>
      <c r="F12" s="13"/>
    </row>
    <row r="13" spans="1:6">
      <c r="B13" s="13" t="s">
        <v>23</v>
      </c>
      <c r="C13">
        <v>200</v>
      </c>
      <c r="D13">
        <v>122</v>
      </c>
      <c r="E13">
        <f t="shared" si="1"/>
        <v>2.3010299956639813</v>
      </c>
      <c r="F13" s="13"/>
    </row>
    <row r="14" spans="1:6">
      <c r="A14" s="1">
        <v>39574</v>
      </c>
      <c r="B14" s="13" t="s">
        <v>26</v>
      </c>
      <c r="C14">
        <v>50</v>
      </c>
      <c r="D14">
        <v>125</v>
      </c>
      <c r="E14">
        <f t="shared" si="1"/>
        <v>1.6989700043360187</v>
      </c>
      <c r="F14" s="13" t="s">
        <v>33</v>
      </c>
    </row>
    <row r="15" spans="1:6">
      <c r="A15" s="13" t="s">
        <v>54</v>
      </c>
      <c r="B15" s="13" t="s">
        <v>27</v>
      </c>
      <c r="C15">
        <v>50</v>
      </c>
      <c r="D15">
        <v>125</v>
      </c>
      <c r="E15">
        <f t="shared" si="1"/>
        <v>1.6989700043360187</v>
      </c>
      <c r="F15" s="13" t="s">
        <v>33</v>
      </c>
    </row>
    <row r="16" spans="1:6">
      <c r="B16" s="13" t="s">
        <v>25</v>
      </c>
      <c r="C16">
        <v>50</v>
      </c>
      <c r="D16">
        <v>125</v>
      </c>
      <c r="E16">
        <f t="shared" si="1"/>
        <v>1.6989700043360187</v>
      </c>
      <c r="F16" s="13" t="s">
        <v>33</v>
      </c>
    </row>
    <row r="17" spans="1:6">
      <c r="B17" s="13" t="s">
        <v>28</v>
      </c>
      <c r="C17">
        <v>50</v>
      </c>
      <c r="D17">
        <v>125</v>
      </c>
      <c r="E17">
        <f t="shared" si="1"/>
        <v>1.6989700043360187</v>
      </c>
      <c r="F17" s="13" t="s">
        <v>33</v>
      </c>
    </row>
    <row r="18" spans="1:6">
      <c r="B18" s="13" t="s">
        <v>24</v>
      </c>
      <c r="C18">
        <v>100</v>
      </c>
      <c r="E18">
        <f t="shared" si="1"/>
        <v>2</v>
      </c>
      <c r="F18" s="13" t="s">
        <v>33</v>
      </c>
    </row>
    <row r="19" spans="1:6">
      <c r="B19" s="13" t="s">
        <v>21</v>
      </c>
      <c r="C19">
        <v>100</v>
      </c>
      <c r="E19">
        <f t="shared" si="1"/>
        <v>2</v>
      </c>
      <c r="F19" s="13" t="s">
        <v>33</v>
      </c>
    </row>
    <row r="20" spans="1:6">
      <c r="B20" s="13" t="s">
        <v>21</v>
      </c>
      <c r="C20">
        <v>100</v>
      </c>
      <c r="E20">
        <f t="shared" si="1"/>
        <v>2</v>
      </c>
      <c r="F20" s="13" t="s">
        <v>33</v>
      </c>
    </row>
    <row r="21" spans="1:6">
      <c r="B21" s="13" t="s">
        <v>23</v>
      </c>
      <c r="C21">
        <v>100</v>
      </c>
      <c r="E21">
        <f t="shared" si="1"/>
        <v>2</v>
      </c>
      <c r="F21" s="13" t="s">
        <v>33</v>
      </c>
    </row>
    <row r="22" spans="1:6">
      <c r="B22" s="13" t="s">
        <v>24</v>
      </c>
      <c r="C22">
        <v>200</v>
      </c>
      <c r="E22">
        <f>LOG10(C22)</f>
        <v>2.3010299956639813</v>
      </c>
      <c r="F22" s="13" t="s">
        <v>33</v>
      </c>
    </row>
    <row r="23" spans="1:6">
      <c r="B23" s="13" t="s">
        <v>21</v>
      </c>
      <c r="C23">
        <v>200</v>
      </c>
      <c r="E23">
        <f t="shared" ref="E23:E25" si="2">LOG10(C23)</f>
        <v>2.3010299956639813</v>
      </c>
      <c r="F23" s="13" t="s">
        <v>33</v>
      </c>
    </row>
    <row r="24" spans="1:6">
      <c r="B24" s="13" t="s">
        <v>25</v>
      </c>
      <c r="C24">
        <v>200</v>
      </c>
      <c r="E24">
        <f t="shared" si="2"/>
        <v>2.3010299956639813</v>
      </c>
      <c r="F24" s="13" t="s">
        <v>33</v>
      </c>
    </row>
    <row r="25" spans="1:6">
      <c r="B25" s="13" t="s">
        <v>23</v>
      </c>
      <c r="C25">
        <v>200</v>
      </c>
      <c r="E25">
        <f t="shared" si="2"/>
        <v>2.3010299956639813</v>
      </c>
      <c r="F25" s="13" t="s">
        <v>33</v>
      </c>
    </row>
    <row r="26" spans="1:6">
      <c r="B26" s="13" t="s">
        <v>24</v>
      </c>
      <c r="C26">
        <v>300</v>
      </c>
      <c r="E26">
        <f>LOG10(C26)</f>
        <v>2.4771212547196626</v>
      </c>
      <c r="F26" s="13" t="s">
        <v>33</v>
      </c>
    </row>
    <row r="27" spans="1:6">
      <c r="B27" s="13" t="s">
        <v>21</v>
      </c>
      <c r="C27">
        <v>300</v>
      </c>
      <c r="E27">
        <f t="shared" ref="E27:E37" si="3">LOG10(C27)</f>
        <v>2.4771212547196626</v>
      </c>
      <c r="F27" s="13" t="s">
        <v>33</v>
      </c>
    </row>
    <row r="28" spans="1:6">
      <c r="B28" s="13" t="s">
        <v>25</v>
      </c>
      <c r="C28">
        <v>300</v>
      </c>
      <c r="E28">
        <f t="shared" si="3"/>
        <v>2.4771212547196626</v>
      </c>
      <c r="F28" s="13" t="s">
        <v>33</v>
      </c>
    </row>
    <row r="29" spans="1:6">
      <c r="B29" s="13" t="s">
        <v>23</v>
      </c>
      <c r="C29">
        <v>300</v>
      </c>
      <c r="E29">
        <f t="shared" si="3"/>
        <v>2.4771212547196626</v>
      </c>
      <c r="F29" s="13" t="s">
        <v>33</v>
      </c>
    </row>
    <row r="30" spans="1:6">
      <c r="A30" s="1">
        <v>39578</v>
      </c>
      <c r="B30" s="13" t="s">
        <v>29</v>
      </c>
      <c r="C30">
        <v>10</v>
      </c>
      <c r="D30">
        <v>125</v>
      </c>
      <c r="E30">
        <f t="shared" si="3"/>
        <v>1</v>
      </c>
      <c r="F30">
        <f>D30-26.5</f>
        <v>98.5</v>
      </c>
    </row>
    <row r="31" spans="1:6">
      <c r="A31" s="13" t="s">
        <v>56</v>
      </c>
      <c r="B31" s="13" t="s">
        <v>30</v>
      </c>
      <c r="C31">
        <v>10</v>
      </c>
      <c r="D31">
        <v>125</v>
      </c>
      <c r="E31">
        <f t="shared" si="3"/>
        <v>1</v>
      </c>
      <c r="F31">
        <f>D31-25.9</f>
        <v>99.1</v>
      </c>
    </row>
    <row r="32" spans="1:6">
      <c r="B32" s="13" t="s">
        <v>31</v>
      </c>
      <c r="C32">
        <v>10</v>
      </c>
      <c r="D32">
        <v>125</v>
      </c>
      <c r="E32">
        <f t="shared" si="3"/>
        <v>1</v>
      </c>
      <c r="F32">
        <f>D32-12.1</f>
        <v>112.9</v>
      </c>
    </row>
    <row r="33" spans="1:6">
      <c r="B33" s="13" t="s">
        <v>32</v>
      </c>
      <c r="C33">
        <v>10</v>
      </c>
      <c r="D33">
        <v>125</v>
      </c>
      <c r="E33">
        <f t="shared" si="3"/>
        <v>1</v>
      </c>
      <c r="F33">
        <f>D33-15.5</f>
        <v>109.5</v>
      </c>
    </row>
    <row r="34" spans="1:6">
      <c r="B34" s="13" t="s">
        <v>29</v>
      </c>
      <c r="C34">
        <v>50</v>
      </c>
      <c r="D34">
        <v>125</v>
      </c>
      <c r="E34">
        <f t="shared" si="3"/>
        <v>1.6989700043360187</v>
      </c>
      <c r="F34">
        <f>D34-18.7</f>
        <v>106.3</v>
      </c>
    </row>
    <row r="35" spans="1:6">
      <c r="B35" s="13" t="s">
        <v>30</v>
      </c>
      <c r="C35">
        <v>50</v>
      </c>
      <c r="D35">
        <v>125</v>
      </c>
      <c r="E35">
        <f t="shared" si="3"/>
        <v>1.6989700043360187</v>
      </c>
      <c r="F35">
        <f>D35-27.5</f>
        <v>97.5</v>
      </c>
    </row>
    <row r="36" spans="1:6">
      <c r="B36" s="13" t="s">
        <v>32</v>
      </c>
      <c r="C36">
        <v>50</v>
      </c>
      <c r="D36">
        <v>125</v>
      </c>
      <c r="E36">
        <f t="shared" si="3"/>
        <v>1.6989700043360187</v>
      </c>
      <c r="F36">
        <f>D36-21.5</f>
        <v>103.5</v>
      </c>
    </row>
    <row r="37" spans="1:6">
      <c r="B37" s="13" t="s">
        <v>31</v>
      </c>
      <c r="C37">
        <v>50</v>
      </c>
      <c r="D37">
        <v>125</v>
      </c>
      <c r="E37">
        <f t="shared" si="3"/>
        <v>1.6989700043360187</v>
      </c>
      <c r="F37">
        <f>D37-21.6</f>
        <v>103.4</v>
      </c>
    </row>
    <row r="38" spans="1:6">
      <c r="B38" s="13" t="s">
        <v>29</v>
      </c>
      <c r="C38">
        <v>100</v>
      </c>
      <c r="D38">
        <v>125</v>
      </c>
      <c r="E38">
        <f>LOG10(C38)</f>
        <v>2</v>
      </c>
      <c r="F38">
        <f>D38-26.9</f>
        <v>98.1</v>
      </c>
    </row>
    <row r="39" spans="1:6">
      <c r="B39" s="13" t="s">
        <v>30</v>
      </c>
      <c r="C39">
        <v>100</v>
      </c>
      <c r="D39">
        <v>125</v>
      </c>
      <c r="E39">
        <f t="shared" ref="E39:E80" si="4">LOG10(C39)</f>
        <v>2</v>
      </c>
      <c r="F39">
        <f>D39-31.8</f>
        <v>93.2</v>
      </c>
    </row>
    <row r="40" spans="1:6">
      <c r="B40" s="13" t="s">
        <v>31</v>
      </c>
      <c r="C40">
        <v>100</v>
      </c>
      <c r="D40">
        <v>125</v>
      </c>
      <c r="E40">
        <f t="shared" si="4"/>
        <v>2</v>
      </c>
      <c r="F40">
        <f>D40-28.8</f>
        <v>96.2</v>
      </c>
    </row>
    <row r="41" spans="1:6">
      <c r="B41" s="13" t="s">
        <v>32</v>
      </c>
      <c r="C41">
        <v>100</v>
      </c>
      <c r="D41">
        <v>125</v>
      </c>
      <c r="E41">
        <f t="shared" si="4"/>
        <v>2</v>
      </c>
      <c r="F41">
        <f>D41-30.4</f>
        <v>94.6</v>
      </c>
    </row>
    <row r="42" spans="1:6">
      <c r="B42" s="13" t="s">
        <v>34</v>
      </c>
      <c r="C42">
        <v>200</v>
      </c>
      <c r="D42">
        <v>125</v>
      </c>
      <c r="E42">
        <f t="shared" si="4"/>
        <v>2.3010299956639813</v>
      </c>
      <c r="F42">
        <f>D42-29.9</f>
        <v>95.1</v>
      </c>
    </row>
    <row r="43" spans="1:6">
      <c r="B43" s="13" t="s">
        <v>35</v>
      </c>
      <c r="C43">
        <v>200</v>
      </c>
      <c r="D43">
        <v>125</v>
      </c>
      <c r="E43">
        <f t="shared" si="4"/>
        <v>2.3010299956639813</v>
      </c>
      <c r="F43">
        <f>D43-29.3</f>
        <v>95.7</v>
      </c>
    </row>
    <row r="44" spans="1:6">
      <c r="B44" s="13" t="s">
        <v>32</v>
      </c>
      <c r="C44">
        <v>200</v>
      </c>
      <c r="D44">
        <v>125</v>
      </c>
      <c r="E44">
        <f t="shared" si="4"/>
        <v>2.3010299956639813</v>
      </c>
      <c r="F44">
        <f>D44-30.2</f>
        <v>94.8</v>
      </c>
    </row>
    <row r="45" spans="1:6">
      <c r="B45" s="13" t="s">
        <v>29</v>
      </c>
      <c r="C45">
        <v>200</v>
      </c>
      <c r="D45">
        <v>125</v>
      </c>
      <c r="E45">
        <f t="shared" si="4"/>
        <v>2.3010299956639813</v>
      </c>
      <c r="F45">
        <f>D45-31.3</f>
        <v>93.7</v>
      </c>
    </row>
    <row r="46" spans="1:6">
      <c r="A46" s="1">
        <v>39579</v>
      </c>
      <c r="B46" s="13" t="s">
        <v>36</v>
      </c>
      <c r="C46">
        <v>1</v>
      </c>
      <c r="D46">
        <v>125</v>
      </c>
      <c r="E46">
        <f t="shared" si="4"/>
        <v>0</v>
      </c>
      <c r="F46">
        <f>D46-8.1</f>
        <v>116.9</v>
      </c>
    </row>
    <row r="47" spans="1:6">
      <c r="A47" s="13" t="s">
        <v>53</v>
      </c>
      <c r="B47" s="13" t="s">
        <v>37</v>
      </c>
      <c r="C47">
        <v>1</v>
      </c>
      <c r="D47">
        <v>125</v>
      </c>
      <c r="E47">
        <f t="shared" si="4"/>
        <v>0</v>
      </c>
      <c r="F47">
        <f>D47-2.5</f>
        <v>122.5</v>
      </c>
    </row>
    <row r="48" spans="1:6">
      <c r="B48" s="13" t="s">
        <v>38</v>
      </c>
      <c r="C48">
        <v>1</v>
      </c>
      <c r="D48">
        <v>125</v>
      </c>
      <c r="E48">
        <f t="shared" si="4"/>
        <v>0</v>
      </c>
      <c r="F48">
        <f>D48-12.1</f>
        <v>112.9</v>
      </c>
    </row>
    <row r="49" spans="1:6">
      <c r="B49" s="13" t="s">
        <v>39</v>
      </c>
      <c r="C49">
        <v>1</v>
      </c>
      <c r="D49">
        <v>125</v>
      </c>
      <c r="E49">
        <f t="shared" si="4"/>
        <v>0</v>
      </c>
      <c r="F49">
        <f>D49-2.5</f>
        <v>122.5</v>
      </c>
    </row>
    <row r="50" spans="1:6">
      <c r="B50" s="13" t="s">
        <v>37</v>
      </c>
      <c r="C50">
        <v>10</v>
      </c>
      <c r="D50">
        <v>125</v>
      </c>
      <c r="E50">
        <f t="shared" si="4"/>
        <v>1</v>
      </c>
      <c r="F50">
        <f>D50-11</f>
        <v>114</v>
      </c>
    </row>
    <row r="51" spans="1:6">
      <c r="B51" s="13" t="s">
        <v>39</v>
      </c>
      <c r="C51">
        <v>10</v>
      </c>
      <c r="D51">
        <v>125</v>
      </c>
      <c r="E51">
        <f t="shared" si="4"/>
        <v>1</v>
      </c>
      <c r="F51">
        <f>D51-8.9</f>
        <v>116.1</v>
      </c>
    </row>
    <row r="52" spans="1:6">
      <c r="B52" s="13" t="s">
        <v>40</v>
      </c>
      <c r="C52">
        <v>10</v>
      </c>
      <c r="D52">
        <v>125</v>
      </c>
      <c r="E52">
        <f t="shared" si="4"/>
        <v>1</v>
      </c>
      <c r="F52" s="13" t="s">
        <v>41</v>
      </c>
    </row>
    <row r="53" spans="1:6">
      <c r="A53" s="1">
        <v>39580</v>
      </c>
      <c r="B53" s="13" t="s">
        <v>47</v>
      </c>
      <c r="C53">
        <v>1</v>
      </c>
      <c r="D53">
        <v>130</v>
      </c>
      <c r="E53">
        <f t="shared" si="4"/>
        <v>0</v>
      </c>
      <c r="F53">
        <f>D53-7.4</f>
        <v>122.6</v>
      </c>
    </row>
    <row r="54" spans="1:6">
      <c r="A54" s="13" t="s">
        <v>52</v>
      </c>
      <c r="B54" s="13" t="s">
        <v>48</v>
      </c>
      <c r="C54">
        <v>1</v>
      </c>
      <c r="D54">
        <v>130</v>
      </c>
      <c r="E54">
        <f t="shared" si="4"/>
        <v>0</v>
      </c>
      <c r="F54">
        <f>D54-7.7</f>
        <v>122.3</v>
      </c>
    </row>
    <row r="55" spans="1:6">
      <c r="B55" s="13" t="s">
        <v>49</v>
      </c>
      <c r="C55">
        <v>1</v>
      </c>
      <c r="D55">
        <v>130</v>
      </c>
      <c r="E55">
        <f t="shared" si="4"/>
        <v>0</v>
      </c>
      <c r="F55">
        <f>D55-8.5</f>
        <v>121.5</v>
      </c>
    </row>
    <row r="56" spans="1:6">
      <c r="B56" s="13" t="s">
        <v>51</v>
      </c>
      <c r="C56">
        <v>1</v>
      </c>
      <c r="D56">
        <v>130</v>
      </c>
      <c r="E56">
        <f t="shared" si="4"/>
        <v>0</v>
      </c>
      <c r="F56">
        <f>D56-10.7</f>
        <v>119.3</v>
      </c>
    </row>
    <row r="57" spans="1:6">
      <c r="B57" s="13" t="s">
        <v>50</v>
      </c>
      <c r="C57">
        <v>10</v>
      </c>
      <c r="D57">
        <v>130</v>
      </c>
      <c r="E57">
        <f t="shared" si="4"/>
        <v>1</v>
      </c>
      <c r="F57">
        <f>D57-12</f>
        <v>118</v>
      </c>
    </row>
    <row r="58" spans="1:6">
      <c r="B58" s="13" t="s">
        <v>48</v>
      </c>
      <c r="C58">
        <v>10</v>
      </c>
      <c r="D58">
        <v>130</v>
      </c>
      <c r="E58">
        <f t="shared" si="4"/>
        <v>1</v>
      </c>
      <c r="F58">
        <f>D58-11.2</f>
        <v>118.8</v>
      </c>
    </row>
    <row r="59" spans="1:6">
      <c r="B59" s="13" t="s">
        <v>57</v>
      </c>
      <c r="C59">
        <v>10</v>
      </c>
      <c r="D59">
        <v>130</v>
      </c>
      <c r="E59">
        <f t="shared" si="4"/>
        <v>1</v>
      </c>
      <c r="F59">
        <f>D59-9</f>
        <v>121</v>
      </c>
    </row>
    <row r="60" spans="1:6">
      <c r="B60" s="13" t="s">
        <v>49</v>
      </c>
      <c r="C60">
        <v>10</v>
      </c>
      <c r="D60">
        <v>130</v>
      </c>
      <c r="E60">
        <f t="shared" si="4"/>
        <v>1</v>
      </c>
      <c r="F60">
        <f>D60-10.3</f>
        <v>119.7</v>
      </c>
    </row>
    <row r="61" spans="1:6">
      <c r="A61" s="1">
        <v>39580</v>
      </c>
      <c r="B61" s="13" t="s">
        <v>59</v>
      </c>
      <c r="C61">
        <v>1</v>
      </c>
      <c r="D61">
        <v>130</v>
      </c>
      <c r="E61">
        <f t="shared" si="4"/>
        <v>0</v>
      </c>
      <c r="F61">
        <f>D61-13.1</f>
        <v>116.9</v>
      </c>
    </row>
    <row r="62" spans="1:6">
      <c r="A62" s="13" t="s">
        <v>58</v>
      </c>
      <c r="B62" s="13" t="s">
        <v>60</v>
      </c>
      <c r="C62">
        <v>1</v>
      </c>
      <c r="D62">
        <v>130</v>
      </c>
      <c r="E62">
        <f t="shared" si="4"/>
        <v>0</v>
      </c>
      <c r="F62">
        <f>D62-13.2</f>
        <v>116.8</v>
      </c>
    </row>
    <row r="63" spans="1:6">
      <c r="B63" s="13" t="s">
        <v>61</v>
      </c>
      <c r="C63">
        <v>1</v>
      </c>
      <c r="D63">
        <v>130</v>
      </c>
      <c r="E63">
        <f t="shared" si="4"/>
        <v>0</v>
      </c>
      <c r="F63">
        <f>D63-13.5</f>
        <v>116.5</v>
      </c>
    </row>
    <row r="64" spans="1:6">
      <c r="B64" s="13" t="s">
        <v>62</v>
      </c>
      <c r="C64">
        <v>1</v>
      </c>
      <c r="D64">
        <v>130</v>
      </c>
      <c r="E64">
        <f t="shared" si="4"/>
        <v>0</v>
      </c>
      <c r="F64">
        <f>D64-4.6</f>
        <v>125.4</v>
      </c>
    </row>
    <row r="65" spans="2:6">
      <c r="B65" s="13" t="s">
        <v>63</v>
      </c>
      <c r="C65">
        <v>10</v>
      </c>
      <c r="D65">
        <v>120</v>
      </c>
      <c r="E65">
        <f t="shared" si="4"/>
        <v>1</v>
      </c>
      <c r="F65">
        <f>D65-6.3</f>
        <v>113.7</v>
      </c>
    </row>
    <row r="66" spans="2:6">
      <c r="B66" s="13" t="s">
        <v>61</v>
      </c>
      <c r="C66">
        <v>10</v>
      </c>
      <c r="D66">
        <v>120</v>
      </c>
      <c r="E66">
        <f t="shared" si="4"/>
        <v>1</v>
      </c>
      <c r="F66">
        <f>D66-2.4</f>
        <v>117.6</v>
      </c>
    </row>
    <row r="67" spans="2:6">
      <c r="B67" s="13" t="s">
        <v>64</v>
      </c>
      <c r="C67">
        <v>10</v>
      </c>
      <c r="D67">
        <v>120</v>
      </c>
      <c r="E67">
        <f t="shared" si="4"/>
        <v>1</v>
      </c>
      <c r="F67">
        <f>D67-12.9</f>
        <v>107.1</v>
      </c>
    </row>
    <row r="68" spans="2:6">
      <c r="B68" s="13" t="s">
        <v>65</v>
      </c>
      <c r="C68">
        <v>10</v>
      </c>
      <c r="D68">
        <v>120</v>
      </c>
      <c r="E68">
        <f t="shared" si="4"/>
        <v>1</v>
      </c>
      <c r="F68">
        <f>D68-7.2</f>
        <v>112.8</v>
      </c>
    </row>
    <row r="69" spans="2:6">
      <c r="B69" s="13" t="s">
        <v>63</v>
      </c>
      <c r="C69">
        <v>50</v>
      </c>
      <c r="D69">
        <v>125</v>
      </c>
      <c r="E69">
        <f t="shared" si="4"/>
        <v>1.6989700043360187</v>
      </c>
      <c r="F69">
        <f>D69-17.7</f>
        <v>107.3</v>
      </c>
    </row>
    <row r="70" spans="2:6">
      <c r="B70" s="13" t="s">
        <v>60</v>
      </c>
      <c r="C70">
        <v>50</v>
      </c>
      <c r="D70">
        <v>125</v>
      </c>
      <c r="E70">
        <f t="shared" si="4"/>
        <v>1.6989700043360187</v>
      </c>
      <c r="F70">
        <f>D70-13.3</f>
        <v>111.7</v>
      </c>
    </row>
    <row r="71" spans="2:6">
      <c r="B71" s="13" t="s">
        <v>61</v>
      </c>
      <c r="C71">
        <v>50</v>
      </c>
      <c r="D71">
        <v>125</v>
      </c>
      <c r="E71">
        <f t="shared" si="4"/>
        <v>1.6989700043360187</v>
      </c>
      <c r="F71">
        <f>D71-12.9</f>
        <v>112.1</v>
      </c>
    </row>
    <row r="72" spans="2:6">
      <c r="B72" s="13" t="s">
        <v>62</v>
      </c>
      <c r="C72">
        <v>50</v>
      </c>
      <c r="D72">
        <v>125</v>
      </c>
      <c r="E72">
        <f t="shared" si="4"/>
        <v>1.6989700043360187</v>
      </c>
      <c r="F72">
        <f>D72-10.4</f>
        <v>114.6</v>
      </c>
    </row>
    <row r="73" spans="2:6">
      <c r="B73" s="13" t="s">
        <v>63</v>
      </c>
      <c r="C73">
        <v>100</v>
      </c>
      <c r="D73">
        <v>120</v>
      </c>
      <c r="E73">
        <f t="shared" si="4"/>
        <v>2</v>
      </c>
      <c r="F73">
        <f>D73-6.9</f>
        <v>113.1</v>
      </c>
    </row>
    <row r="74" spans="2:6">
      <c r="B74" s="13" t="s">
        <v>61</v>
      </c>
      <c r="C74">
        <v>100</v>
      </c>
      <c r="D74">
        <v>120</v>
      </c>
      <c r="E74">
        <f t="shared" si="4"/>
        <v>2</v>
      </c>
      <c r="F74">
        <f>D74-8</f>
        <v>112</v>
      </c>
    </row>
    <row r="75" spans="2:6">
      <c r="B75" s="13" t="s">
        <v>60</v>
      </c>
      <c r="C75">
        <v>100</v>
      </c>
      <c r="D75">
        <v>120</v>
      </c>
      <c r="E75">
        <f t="shared" si="4"/>
        <v>2</v>
      </c>
      <c r="F75">
        <f>D75-6.2</f>
        <v>113.8</v>
      </c>
    </row>
    <row r="76" spans="2:6">
      <c r="B76" s="13" t="s">
        <v>62</v>
      </c>
      <c r="C76">
        <v>100</v>
      </c>
      <c r="D76">
        <v>120</v>
      </c>
      <c r="E76">
        <f t="shared" si="4"/>
        <v>2</v>
      </c>
      <c r="F76">
        <f>D76-18.9</f>
        <v>101.1</v>
      </c>
    </row>
    <row r="77" spans="2:6">
      <c r="B77" s="13" t="s">
        <v>63</v>
      </c>
      <c r="C77">
        <v>200</v>
      </c>
      <c r="D77">
        <v>125</v>
      </c>
      <c r="E77">
        <f t="shared" si="4"/>
        <v>2.3010299956639813</v>
      </c>
      <c r="F77">
        <f>D77-10.3</f>
        <v>114.7</v>
      </c>
    </row>
    <row r="78" spans="2:6">
      <c r="B78" s="13" t="s">
        <v>66</v>
      </c>
      <c r="C78">
        <v>200</v>
      </c>
      <c r="D78">
        <v>125</v>
      </c>
      <c r="E78">
        <f t="shared" si="4"/>
        <v>2.3010299956639813</v>
      </c>
      <c r="F78">
        <f>D78-5.3</f>
        <v>119.7</v>
      </c>
    </row>
    <row r="79" spans="2:6">
      <c r="B79" s="13" t="s">
        <v>62</v>
      </c>
      <c r="C79">
        <v>200</v>
      </c>
      <c r="D79">
        <v>125</v>
      </c>
      <c r="E79">
        <f t="shared" si="4"/>
        <v>2.3010299956639813</v>
      </c>
      <c r="F79">
        <f>D79-8.4</f>
        <v>116.6</v>
      </c>
    </row>
    <row r="80" spans="2:6">
      <c r="B80" s="13" t="s">
        <v>64</v>
      </c>
      <c r="C80">
        <v>200</v>
      </c>
      <c r="D80">
        <v>125</v>
      </c>
      <c r="E80">
        <f t="shared" si="4"/>
        <v>2.3010299956639813</v>
      </c>
      <c r="F80">
        <f>D80-11.4</f>
        <v>113.6</v>
      </c>
    </row>
  </sheetData>
  <sheetCalcPr fullCalcOnLoad="1"/>
  <phoneticPr fontId="5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G1:H5"/>
  <sheetViews>
    <sheetView tabSelected="1" view="pageLayout" topLeftCell="A13" workbookViewId="0">
      <selection activeCell="G13" sqref="G13"/>
    </sheetView>
  </sheetViews>
  <sheetFormatPr baseColWidth="10" defaultRowHeight="13"/>
  <cols>
    <col min="7" max="7" width="16.85546875" customWidth="1"/>
    <col min="8" max="8" width="21.5703125" customWidth="1"/>
  </cols>
  <sheetData>
    <row r="1" spans="7:8">
      <c r="G1" s="14" t="s">
        <v>42</v>
      </c>
      <c r="H1" s="14" t="s">
        <v>43</v>
      </c>
    </row>
    <row r="2" spans="7:8">
      <c r="G2">
        <v>1</v>
      </c>
      <c r="H2" t="s">
        <v>44</v>
      </c>
    </row>
    <row r="3" spans="7:8">
      <c r="G3">
        <v>2</v>
      </c>
      <c r="H3" t="s">
        <v>45</v>
      </c>
    </row>
    <row r="4" spans="7:8">
      <c r="G4">
        <v>3</v>
      </c>
      <c r="H4" t="s">
        <v>67</v>
      </c>
    </row>
    <row r="5" spans="7:8">
      <c r="G5">
        <v>4</v>
      </c>
      <c r="H5" t="s">
        <v>46</v>
      </c>
    </row>
  </sheetData>
  <sheetCalcPr fullCalcOnLoad="1"/>
  <phoneticPr fontId="5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Table</vt:lpstr>
      <vt:lpstr>CTD</vt:lpstr>
      <vt:lpstr>Spreading</vt:lpstr>
      <vt:lpstr>Tables and Figures</vt:lpstr>
    </vt:vector>
  </TitlesOfParts>
  <Company>University of Washington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Roberson</dc:creator>
  <cp:lastModifiedBy>Dana Roberson</cp:lastModifiedBy>
  <cp:lastPrinted>2012-05-06T20:59:30Z</cp:lastPrinted>
  <dcterms:created xsi:type="dcterms:W3CDTF">2012-05-06T05:49:37Z</dcterms:created>
  <dcterms:modified xsi:type="dcterms:W3CDTF">2012-05-14T14:53:12Z</dcterms:modified>
</cp:coreProperties>
</file>