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0"/>
  </bookViews>
  <sheets>
    <sheet name="Water" sheetId="1" r:id="rId1"/>
    <sheet name="Sewage" sheetId="2" r:id="rId2"/>
    <sheet name="Energy" sheetId="3" r:id="rId3"/>
    <sheet name="Propane and lamp oil" sheetId="4" r:id="rId4"/>
    <sheet name="RecycleWaste" sheetId="5" r:id="rId5"/>
    <sheet name="Calibrations" sheetId="6" r:id="rId6"/>
    <sheet name="Graphs" sheetId="7" r:id="rId7"/>
  </sheets>
  <definedNames>
    <definedName name="_xlnm.Print_Area" localSheetId="2">'Energy'!$A$1:$Q$12</definedName>
    <definedName name="Excel_BuiltIn_Print_Area_3_1">'Energy'!$A$1:$F$1</definedName>
  </definedNames>
  <calcPr fullCalcOnLoad="1"/>
</workbook>
</file>

<file path=xl/sharedStrings.xml><?xml version="1.0" encoding="utf-8"?>
<sst xmlns="http://schemas.openxmlformats.org/spreadsheetml/2006/main" count="177" uniqueCount="121">
  <si>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</si>
  <si>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</si>
  <si>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</si>
  <si>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</si>
  <si>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</si>
  <si>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</si>
  <si>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</si>
  <si>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</si>
  <si>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</si>
  <si>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</si>
  <si>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</si>
  <si>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</si>
  <si>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</si>
  <si>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</si>
  <si>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</si>
  <si>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</si>
  <si>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</si>
  <si>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z</t>
  </si>
  <si>
    <t>Date</t>
  </si>
  <si>
    <t>Time</t>
  </si>
  <si>
    <t>Depth</t>
  </si>
  <si>
    <t>Metric Volume</t>
  </si>
  <si>
    <t>American Volume</t>
  </si>
  <si>
    <t>Volume used</t>
  </si>
  <si>
    <t>Time period</t>
  </si>
  <si>
    <t>Daily use rate</t>
  </si>
  <si>
    <t>Number of people</t>
  </si>
  <si>
    <t>Daily water use per person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</si>
  <si>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</si>
  <si>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</si>
  <si>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</si>
  <si>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</si>
  <si>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</si>
  <si>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</si>
  <si>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</si>
  <si>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</si>
  <si>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</si>
  <si>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</si>
  <si>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</si>
  <si>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</si>
  <si>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 xml:space="preserve"> </t>
  </si>
  <si>
    <t>Sewage fluxes</t>
  </si>
  <si>
    <t>Pump out depth</t>
  </si>
  <si>
    <t>cm</t>
  </si>
  <si>
    <t>Extra tank MAX volume</t>
  </si>
  <si>
    <t>L</t>
  </si>
  <si>
    <t>Main tank MAX volume</t>
  </si>
  <si>
    <t>intercept</t>
  </si>
  <si>
    <t>liters</t>
  </si>
  <si>
    <t>Conservative Volume</t>
  </si>
  <si>
    <t>5) Report to Captain Todd when Depth is 25 cm.</t>
  </si>
  <si>
    <t xml:space="preserve">Depth </t>
  </si>
  <si>
    <t>Total Volume used</t>
  </si>
  <si>
    <t>Daily usage</t>
  </si>
  <si>
    <t>Days before Pump out</t>
  </si>
  <si>
    <t>Overflowed the first one.</t>
  </si>
  <si>
    <t>Pumped to reserve holding tank</t>
  </si>
  <si>
    <t>pumped out Roche Harbor</t>
  </si>
  <si>
    <t>Pumped from 35 cm to 13 cm into holding tank</t>
  </si>
  <si>
    <t>ENERGY:</t>
  </si>
  <si>
    <t>Max distance when full</t>
  </si>
  <si>
    <t>diesel tank full</t>
  </si>
  <si>
    <t>Assumptions and conversion factors</t>
  </si>
  <si>
    <t>gal</t>
  </si>
  <si>
    <t>Voltage</t>
  </si>
  <si>
    <t>Volts</t>
  </si>
  <si>
    <t>Burn rate</t>
  </si>
  <si>
    <t>gal/hr</t>
  </si>
  <si>
    <t>max speed</t>
  </si>
  <si>
    <t>knots</t>
  </si>
  <si>
    <t>Total energy use</t>
  </si>
  <si>
    <t>Engine run time</t>
  </si>
  <si>
    <t>Lifetime</t>
  </si>
  <si>
    <t>Usage since last reading</t>
  </si>
  <si>
    <t>Total usage</t>
  </si>
  <si>
    <t>Total Remaining</t>
  </si>
  <si>
    <t>Fuel Added</t>
  </si>
  <si>
    <t>max distance</t>
  </si>
  <si>
    <t>Trip</t>
  </si>
  <si>
    <t>Charge</t>
  </si>
  <si>
    <t>(hours)</t>
  </si>
  <si>
    <t>(Ahc)</t>
  </si>
  <si>
    <t>(gal)</t>
  </si>
  <si>
    <t>(percentage)</t>
  </si>
  <si>
    <t>(nm)</t>
  </si>
  <si>
    <t>(Ah)</t>
  </si>
  <si>
    <t>Propane:</t>
  </si>
  <si>
    <t>Lamp oil:</t>
  </si>
  <si>
    <t>Date:</t>
  </si>
  <si>
    <t>Time:</t>
  </si>
  <si>
    <t>Level:</t>
  </si>
  <si>
    <t>RECYCLE &amp; WASTE:</t>
  </si>
  <si>
    <t>Recycle:</t>
  </si>
  <si>
    <t>Waste:</t>
  </si>
  <si>
    <t>Compost</t>
  </si>
  <si>
    <t>Mass (kg)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</si>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</sst>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0"/>
    <numFmt numFmtId="166" formatCode="0.0"/>
    <numFmt numFmtId="167" formatCode="0.000000"/>
    <numFmt numFmtId="168" formatCode="0"/>
    <numFmt numFmtId="169" formatCode="HH:MM"/>
    <numFmt numFmtId="170" formatCode="MM/DD/YY"/>
    <numFmt numFmtId="171" formatCode="00"/>
    <numFmt numFmtId="172" formatCode="0.00"/>
    <numFmt numFmtId="173" formatCode="M/D/YYYY"/>
    <numFmt numFmtId="174" formatCode="HH:MM:SS\ AM/PM"/>
    <numFmt numFmtId="175" formatCode="HH:MM\ AM/PM"/>
    <numFmt numFmtId="176" formatCode="H:MM\ AM/PM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i/>
      <sz val="11"/>
      <color indexed="8"/>
      <name val="Calibri"/>
      <family val="2"/>
    </font>
    <font>
      <sz val="13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vertAlign val="superscript"/>
      <sz val="13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6" fillId="24" borderId="0" xfId="0" applyFont="1" applyFill="1" applyAlignment="1">
      <alignment/>
    </xf>
    <xf numFmtId="164" fontId="0" fillId="24" borderId="0" xfId="0" applyFill="1" applyAlignment="1">
      <alignment wrapText="1"/>
    </xf>
    <xf numFmtId="164" fontId="0" fillId="25" borderId="0" xfId="0" applyFill="1" applyAlignment="1">
      <alignment/>
    </xf>
    <xf numFmtId="164" fontId="16" fillId="24" borderId="0" xfId="0" applyFont="1" applyFill="1" applyAlignment="1">
      <alignment wrapText="1"/>
    </xf>
    <xf numFmtId="164" fontId="18" fillId="0" borderId="10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24" borderId="12" xfId="0" applyFill="1" applyBorder="1" applyAlignment="1">
      <alignment/>
    </xf>
    <xf numFmtId="164" fontId="18" fillId="24" borderId="10" xfId="0" applyFont="1" applyFill="1" applyBorder="1" applyAlignment="1">
      <alignment wrapText="1"/>
    </xf>
    <xf numFmtId="164" fontId="0" fillId="24" borderId="11" xfId="0" applyFont="1" applyFill="1" applyBorder="1" applyAlignment="1">
      <alignment horizontal="center"/>
    </xf>
    <xf numFmtId="164" fontId="0" fillId="0" borderId="13" xfId="0" applyBorder="1" applyAlignment="1">
      <alignment/>
    </xf>
    <xf numFmtId="164" fontId="0" fillId="0" borderId="13" xfId="0" applyFont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0" fillId="24" borderId="14" xfId="0" applyFont="1" applyFill="1" applyBorder="1" applyAlignment="1">
      <alignment horizontal="center" wrapText="1"/>
    </xf>
    <xf numFmtId="164" fontId="0" fillId="0" borderId="0" xfId="0" applyBorder="1" applyAlignment="1">
      <alignment horizontal="right"/>
    </xf>
    <xf numFmtId="164" fontId="0" fillId="24" borderId="15" xfId="0" applyFill="1" applyBorder="1" applyAlignment="1">
      <alignment/>
    </xf>
    <xf numFmtId="165" fontId="0" fillId="24" borderId="16" xfId="0" applyNumberFormat="1" applyFill="1" applyBorder="1" applyAlignment="1">
      <alignment horizontal="center"/>
    </xf>
    <xf numFmtId="164" fontId="0" fillId="24" borderId="16" xfId="0" applyFont="1" applyFill="1" applyBorder="1" applyAlignment="1">
      <alignment horizontal="center"/>
    </xf>
    <xf numFmtId="166" fontId="0" fillId="24" borderId="15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4" fontId="0" fillId="24" borderId="16" xfId="0" applyFill="1" applyBorder="1" applyAlignment="1">
      <alignment/>
    </xf>
    <xf numFmtId="167" fontId="0" fillId="24" borderId="17" xfId="0" applyNumberFormat="1" applyFill="1" applyBorder="1" applyAlignment="1">
      <alignment/>
    </xf>
    <xf numFmtId="164" fontId="0" fillId="0" borderId="0" xfId="0" applyFill="1" applyBorder="1" applyAlignment="1">
      <alignment/>
    </xf>
    <xf numFmtId="168" fontId="0" fillId="24" borderId="0" xfId="0" applyNumberFormat="1" applyFill="1" applyAlignment="1">
      <alignment/>
    </xf>
    <xf numFmtId="164" fontId="0" fillId="24" borderId="11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24" borderId="0" xfId="0" applyFill="1" applyBorder="1" applyAlignment="1">
      <alignment/>
    </xf>
    <xf numFmtId="164" fontId="0" fillId="0" borderId="0" xfId="0" applyFill="1" applyAlignment="1">
      <alignment/>
    </xf>
    <xf numFmtId="164" fontId="16" fillId="24" borderId="0" xfId="0" applyFont="1" applyFill="1" applyAlignment="1">
      <alignment horizontal="center"/>
    </xf>
    <xf numFmtId="164" fontId="19" fillId="24" borderId="0" xfId="0" applyFont="1" applyFill="1" applyAlignment="1">
      <alignment horizontal="center"/>
    </xf>
    <xf numFmtId="164" fontId="16" fillId="0" borderId="0" xfId="0" applyFont="1" applyAlignment="1">
      <alignment horizontal="center" textRotation="90" wrapText="1"/>
    </xf>
    <xf numFmtId="164" fontId="19" fillId="24" borderId="0" xfId="0" applyFont="1" applyFill="1" applyAlignment="1">
      <alignment horizontal="center" textRotation="90" wrapText="1"/>
    </xf>
    <xf numFmtId="164" fontId="16" fillId="0" borderId="0" xfId="0" applyFont="1" applyAlignment="1">
      <alignment horizontal="center"/>
    </xf>
    <xf numFmtId="169" fontId="16" fillId="24" borderId="0" xfId="0" applyNumberFormat="1" applyFont="1" applyFill="1" applyAlignment="1">
      <alignment horizontal="center"/>
    </xf>
    <xf numFmtId="164" fontId="16" fillId="0" borderId="0" xfId="0" applyFont="1" applyAlignment="1">
      <alignment horizontal="center" wrapText="1"/>
    </xf>
    <xf numFmtId="170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164" fontId="20" fillId="24" borderId="0" xfId="0" applyFont="1" applyFill="1" applyAlignment="1">
      <alignment/>
    </xf>
    <xf numFmtId="166" fontId="0" fillId="0" borderId="0" xfId="0" applyNumberFormat="1" applyAlignment="1">
      <alignment/>
    </xf>
    <xf numFmtId="172" fontId="20" fillId="24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24" borderId="0" xfId="0" applyNumberFormat="1" applyFill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25" borderId="0" xfId="0" applyFont="1" applyFill="1" applyAlignment="1">
      <alignment/>
    </xf>
    <xf numFmtId="164" fontId="16" fillId="0" borderId="0" xfId="0" applyFont="1" applyAlignment="1">
      <alignment wrapText="1"/>
    </xf>
    <xf numFmtId="164" fontId="18" fillId="0" borderId="10" xfId="0" applyFont="1" applyBorder="1" applyAlignment="1">
      <alignment wrapText="1"/>
    </xf>
    <xf numFmtId="164" fontId="0" fillId="0" borderId="11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24" borderId="16" xfId="0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4" fontId="0" fillId="0" borderId="19" xfId="0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16" fillId="0" borderId="0" xfId="0" applyFont="1" applyFill="1" applyAlignment="1">
      <alignment/>
    </xf>
    <xf numFmtId="164" fontId="19" fillId="0" borderId="0" xfId="0" applyFont="1" applyAlignment="1">
      <alignment horizontal="center" wrapText="1"/>
    </xf>
    <xf numFmtId="164" fontId="19" fillId="24" borderId="0" xfId="0" applyFont="1" applyFill="1" applyAlignment="1">
      <alignment horizontal="center" wrapText="1"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Alignment="1">
      <alignment horizontal="center"/>
    </xf>
    <xf numFmtId="173" fontId="0" fillId="24" borderId="0" xfId="0" applyNumberFormat="1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Alignment="1">
      <alignment horizontal="left"/>
    </xf>
    <xf numFmtId="164" fontId="16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16" fillId="0" borderId="0" xfId="0" applyFont="1" applyAlignment="1">
      <alignment horizontal="right"/>
    </xf>
    <xf numFmtId="164" fontId="0" fillId="24" borderId="0" xfId="0" applyFill="1" applyAlignment="1">
      <alignment horizontal="left"/>
    </xf>
    <xf numFmtId="164" fontId="16" fillId="0" borderId="0" xfId="0" applyFont="1" applyBorder="1" applyAlignment="1">
      <alignment horizontal="left"/>
    </xf>
    <xf numFmtId="164" fontId="16" fillId="24" borderId="0" xfId="0" applyFont="1" applyFill="1" applyBorder="1" applyAlignment="1">
      <alignment/>
    </xf>
    <xf numFmtId="164" fontId="16" fillId="0" borderId="0" xfId="0" applyFont="1" applyBorder="1" applyAlignment="1">
      <alignment wrapText="1"/>
    </xf>
    <xf numFmtId="164" fontId="16" fillId="24" borderId="0" xfId="0" applyFont="1" applyFill="1" applyAlignment="1">
      <alignment horizontal="center" wrapText="1"/>
    </xf>
    <xf numFmtId="164" fontId="16" fillId="24" borderId="0" xfId="0" applyFont="1" applyFill="1" applyBorder="1" applyAlignment="1">
      <alignment horizontal="center"/>
    </xf>
    <xf numFmtId="164" fontId="16" fillId="0" borderId="0" xfId="0" applyFont="1" applyBorder="1" applyAlignment="1">
      <alignment horizontal="center"/>
    </xf>
    <xf numFmtId="170" fontId="0" fillId="0" borderId="0" xfId="0" applyNumberFormat="1" applyAlignment="1">
      <alignment horizontal="left"/>
    </xf>
    <xf numFmtId="174" fontId="0" fillId="0" borderId="0" xfId="0" applyNumberFormat="1" applyAlignment="1">
      <alignment horizontal="left"/>
    </xf>
    <xf numFmtId="164" fontId="0" fillId="0" borderId="0" xfId="0" applyFont="1" applyAlignment="1">
      <alignment horizontal="left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164" fontId="21" fillId="0" borderId="0" xfId="0" applyFont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4586"/>
      <rgbColor rgb="00C0C0C0"/>
      <rgbColor rgb="00808080"/>
      <rgbColor rgb="00B3B3B3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Freshwater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Calibrations!$C$25</c:f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Calibrations!$B$26:$B$44</c:f>
              <c:numCache/>
            </c:numRef>
          </c:xVal>
          <c:yVal>
            <c:numRef>
              <c:f>Calibrations!$C$26:$C$44</c:f>
              <c:numCache/>
            </c:numRef>
          </c:yVal>
          <c:smooth val="0"/>
        </c:ser>
        <c:axId val="32478309"/>
        <c:axId val="23869326"/>
      </c:scatterChart>
      <c:valAx>
        <c:axId val="32478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Cm (on stick)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69326"/>
        <c:crosses val="autoZero"/>
        <c:crossBetween val="midCat"/>
        <c:dispUnits/>
      </c:valAx>
      <c:valAx>
        <c:axId val="23869326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(liters)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78309"/>
        <c:crosses val="autoZero"/>
        <c:crossBetween val="midCat"/>
        <c:dispUnits/>
        <c:majorUnit val="50"/>
        <c:minorUnit val="5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Holding tank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Calibrations!$F$3:$F$14</c:f>
              <c:numCache/>
            </c:numRef>
          </c:xVal>
          <c:yVal>
            <c:numRef>
              <c:f>Calibrations!$G$3:$G$14</c:f>
              <c:numCache/>
            </c:numRef>
          </c:yVal>
          <c:smooth val="0"/>
        </c:ser>
        <c:axId val="13497343"/>
        <c:axId val="54367224"/>
      </c:scatterChart>
      <c:valAx>
        <c:axId val="1349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Sewage level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367224"/>
        <c:crosses val="autoZero"/>
        <c:crossBetween val="midCat"/>
        <c:dispUnits/>
      </c:val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Volume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97343"/>
        <c:crosses val="autoZero"/>
        <c:crossBetween val="midCat"/>
        <c:dispUnits/>
        <c:majorUnit val="10"/>
        <c:minorUnit val="2"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</a:rPr>
              <a:t>Water usage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Water!$A$11:$A$13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Water!$L$11:$L$13</c:f>
              <c:numCache/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solidFill>
                      <a:srgbClr val="000000"/>
                    </a:solidFill>
                  </a:rPr>
                  <a:t>l/d/person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195429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solidFill>
                  <a:srgbClr val="000000"/>
                </a:solidFill>
              </a:rPr>
              <a:t>Water usage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Water!$A$10:$A$13</c:f>
              <c:strCache/>
            </c:strRef>
          </c:xVal>
          <c:yVal>
            <c:numRef>
              <c:f>Water!$M$10:$M$13</c:f>
              <c:numCache/>
            </c:numRef>
          </c:yVal>
          <c:smooth val="0"/>
        </c:ser>
        <c:axId val="39476627"/>
        <c:axId val="19745324"/>
      </c:scatterChart>
      <c:valAx>
        <c:axId val="3947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19745324"/>
        <c:crosses val="autoZero"/>
        <c:crossBetween val="midCat"/>
        <c:dispUnits/>
      </c:valAx>
      <c:valAx>
        <c:axId val="1974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solidFill>
                      <a:srgbClr val="000000"/>
                    </a:solidFill>
                  </a:rPr>
                  <a:t>l/d/person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3947662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Water!$A$10:$A$20</c:f>
              <c:strCache/>
            </c:strRef>
          </c:xVal>
          <c:yVal>
            <c:numRef>
              <c:f>Water!$M$10:$M$35</c:f>
              <c:numCache/>
            </c:numRef>
          </c:yVal>
          <c:smooth val="0"/>
        </c:ser>
        <c:axId val="43490189"/>
        <c:axId val="55867382"/>
      </c:scatterChart>
      <c:val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55867382"/>
        <c:crosses val="autoZero"/>
        <c:crossBetween val="midCat"/>
        <c:dispUnits/>
      </c:valAx>
      <c:valAx>
        <c:axId val="558673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</a:defRPr>
            </a:pPr>
          </a:p>
        </c:txPr>
        <c:crossAx val="4349018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23</xdr:row>
      <xdr:rowOff>161925</xdr:rowOff>
    </xdr:from>
    <xdr:to>
      <xdr:col>11</xdr:col>
      <xdr:colOff>266700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3686175" y="4124325"/>
        <a:ext cx="39909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0</xdr:row>
      <xdr:rowOff>133350</xdr:rowOff>
    </xdr:from>
    <xdr:to>
      <xdr:col>13</xdr:col>
      <xdr:colOff>171450</xdr:colOff>
      <xdr:row>20</xdr:row>
      <xdr:rowOff>28575</xdr:rowOff>
    </xdr:to>
    <xdr:graphicFrame>
      <xdr:nvGraphicFramePr>
        <xdr:cNvPr id="2" name="Chart 2"/>
        <xdr:cNvGraphicFramePr/>
      </xdr:nvGraphicFramePr>
      <xdr:xfrm>
        <a:off x="6172200" y="133350"/>
        <a:ext cx="2571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15</xdr:col>
      <xdr:colOff>314325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9144000" y="1333500"/>
        <a:ext cx="26003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2</xdr:row>
      <xdr:rowOff>28575</xdr:rowOff>
    </xdr:from>
    <xdr:to>
      <xdr:col>8</xdr:col>
      <xdr:colOff>704850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1400175" y="409575"/>
        <a:ext cx="54006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3</xdr:row>
      <xdr:rowOff>161925</xdr:rowOff>
    </xdr:from>
    <xdr:to>
      <xdr:col>10</xdr:col>
      <xdr:colOff>161925</xdr:colOff>
      <xdr:row>24</xdr:row>
      <xdr:rowOff>161925</xdr:rowOff>
    </xdr:to>
    <xdr:graphicFrame>
      <xdr:nvGraphicFramePr>
        <xdr:cNvPr id="3" name="Chart 3"/>
        <xdr:cNvGraphicFramePr/>
      </xdr:nvGraphicFramePr>
      <xdr:xfrm>
        <a:off x="1552575" y="733425"/>
        <a:ext cx="6229350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0" zoomScaleNormal="80" zoomScaleSheetLayoutView="110" workbookViewId="0" topLeftCell="A1">
      <pane ySplit="8" topLeftCell="A23" activePane="bottomLeft" state="frozen"/>
      <selection pane="topLeft" activeCell="A1" sqref="A1"/>
      <selection pane="bottomLeft" activeCell="F31" sqref="F31"/>
    </sheetView>
  </sheetViews>
  <sheetFormatPr defaultColWidth="12.57421875" defaultRowHeight="15"/>
  <cols>
    <col min="1" max="1" width="13.00390625" style="1" customWidth="1"/>
    <col min="2" max="2" width="8.00390625" style="1" customWidth="1"/>
    <col min="3" max="3" width="9.140625" style="1" customWidth="1"/>
    <col min="4" max="4" width="7.28125" style="1" customWidth="1"/>
    <col min="5" max="5" width="7.7109375" style="0" customWidth="1"/>
    <col min="6" max="6" width="9.28125" style="0" customWidth="1"/>
    <col min="7" max="7" width="7.7109375" style="0" customWidth="1"/>
    <col min="8" max="8" width="8.7109375" style="0" customWidth="1"/>
    <col min="9" max="9" width="9.7109375" style="1" customWidth="1"/>
    <col min="10" max="10" width="6.7109375" style="0" customWidth="1"/>
    <col min="11" max="11" width="7.28125" style="0" customWidth="1"/>
    <col min="12" max="12" width="7.8515625" style="1" customWidth="1"/>
    <col min="13" max="14" width="9.28125" style="0" customWidth="1"/>
    <col min="15" max="15" width="21.8515625" style="0" customWidth="1"/>
    <col min="16" max="16384" width="11.8515625" style="0" customWidth="1"/>
  </cols>
  <sheetData>
    <row r="1" spans="1:16" ht="13.5">
      <c r="A1" s="2" t="s">
        <v>0</v>
      </c>
      <c r="B1" s="2"/>
      <c r="C1" s="2"/>
      <c r="D1" s="3"/>
      <c r="L1" s="2" t="s">
        <v>1</v>
      </c>
      <c r="M1" s="4"/>
      <c r="N1" s="4"/>
      <c r="O1" s="4"/>
      <c r="P1" s="4"/>
    </row>
    <row r="2" spans="4:16" ht="13.5">
      <c r="D2" s="5"/>
      <c r="F2" s="6" t="s">
        <v>2</v>
      </c>
      <c r="G2" s="7"/>
      <c r="H2" s="7"/>
      <c r="I2" s="8"/>
      <c r="L2" s="1" t="s">
        <v>3</v>
      </c>
      <c r="M2" s="4"/>
      <c r="N2" s="4"/>
      <c r="O2" s="4"/>
      <c r="P2" s="4"/>
    </row>
    <row r="3" spans="1:16" ht="26.25">
      <c r="A3" s="9" t="s">
        <v>4</v>
      </c>
      <c r="B3" s="10" t="s">
        <v>5</v>
      </c>
      <c r="C3" s="10" t="s">
        <v>6</v>
      </c>
      <c r="D3" s="10" t="s">
        <v>7</v>
      </c>
      <c r="E3" s="11"/>
      <c r="F3" s="12" t="s">
        <v>8</v>
      </c>
      <c r="G3" s="13" t="s">
        <v>9</v>
      </c>
      <c r="H3" s="14" t="s">
        <v>10</v>
      </c>
      <c r="I3" s="15" t="s">
        <v>11</v>
      </c>
      <c r="K3" s="16"/>
      <c r="L3" s="1" t="s">
        <v>12</v>
      </c>
      <c r="M3" s="4"/>
      <c r="N3" s="4"/>
      <c r="O3" s="4"/>
      <c r="P3" s="4"/>
    </row>
    <row r="4" spans="1:16" ht="13.5">
      <c r="A4" s="17"/>
      <c r="B4" s="18">
        <v>3.785</v>
      </c>
      <c r="C4" s="19">
        <v>10.53</v>
      </c>
      <c r="D4" s="1">
        <v>-65</v>
      </c>
      <c r="E4" s="11"/>
      <c r="F4" s="20">
        <v>234.3</v>
      </c>
      <c r="G4" s="21">
        <f>AVERAGE(M12:M24)</f>
        <v>9.282126623376621</v>
      </c>
      <c r="H4" s="22">
        <v>7</v>
      </c>
      <c r="I4" s="23">
        <f>F4/(G4*H4)</f>
        <v>3.6060086152167194</v>
      </c>
      <c r="J4" s="24"/>
      <c r="K4" s="24"/>
      <c r="L4" s="1" t="s">
        <v>13</v>
      </c>
      <c r="M4" s="4"/>
      <c r="N4" s="4"/>
      <c r="O4" s="4"/>
      <c r="P4" s="4"/>
    </row>
    <row r="5" spans="2:16" ht="13.5">
      <c r="B5" s="25"/>
      <c r="C5" s="25"/>
      <c r="D5" s="26"/>
      <c r="E5" s="27"/>
      <c r="F5" s="28"/>
      <c r="G5" s="29"/>
      <c r="H5" s="24"/>
      <c r="I5" s="30"/>
      <c r="J5" s="24"/>
      <c r="K5" s="24"/>
      <c r="L5" s="1" t="s">
        <v>14</v>
      </c>
      <c r="M5" s="4"/>
      <c r="N5" s="4"/>
      <c r="O5" s="4"/>
      <c r="P5" s="4"/>
    </row>
    <row r="6" spans="1:11" ht="13.5">
      <c r="A6" s="1" t="s">
        <v>15</v>
      </c>
      <c r="B6" s="25">
        <f>Calibrations!B47</f>
        <v>630.9594999999999</v>
      </c>
      <c r="C6" s="25"/>
      <c r="D6" s="30" t="s">
        <v>16</v>
      </c>
      <c r="E6" s="31"/>
      <c r="F6" s="31"/>
      <c r="K6" t="s">
        <v>17</v>
      </c>
    </row>
    <row r="7" spans="1:15" s="36" customFormat="1" ht="69.75" customHeight="1">
      <c r="A7" s="32" t="s">
        <v>18</v>
      </c>
      <c r="B7" s="32" t="s">
        <v>19</v>
      </c>
      <c r="C7" s="32" t="s">
        <v>19</v>
      </c>
      <c r="D7" s="33" t="s">
        <v>20</v>
      </c>
      <c r="E7" s="34" t="s">
        <v>21</v>
      </c>
      <c r="F7" s="34" t="s">
        <v>22</v>
      </c>
      <c r="G7" s="34" t="s">
        <v>23</v>
      </c>
      <c r="H7" s="34" t="s">
        <v>23</v>
      </c>
      <c r="I7" s="35" t="s">
        <v>24</v>
      </c>
      <c r="J7" s="34" t="s">
        <v>25</v>
      </c>
      <c r="K7" s="34" t="s">
        <v>25</v>
      </c>
      <c r="L7" s="35" t="s">
        <v>26</v>
      </c>
      <c r="M7" s="34" t="s">
        <v>27</v>
      </c>
      <c r="N7" s="34" t="s">
        <v>28</v>
      </c>
      <c r="O7" s="36" t="s">
        <v>29</v>
      </c>
    </row>
    <row r="8" spans="1:14" s="36" customFormat="1" ht="33.75">
      <c r="A8" s="32"/>
      <c r="B8" s="37" t="s">
        <v>30</v>
      </c>
      <c r="C8" s="37" t="s">
        <v>31</v>
      </c>
      <c r="D8" s="33" t="s">
        <v>32</v>
      </c>
      <c r="E8" s="36" t="s">
        <v>33</v>
      </c>
      <c r="F8" s="36" t="s">
        <v>34</v>
      </c>
      <c r="G8" s="36" t="s">
        <v>33</v>
      </c>
      <c r="H8" s="36" t="s">
        <v>34</v>
      </c>
      <c r="I8" s="33" t="s">
        <v>35</v>
      </c>
      <c r="J8" s="36" t="s">
        <v>36</v>
      </c>
      <c r="K8" s="36" t="s">
        <v>37</v>
      </c>
      <c r="L8" s="33"/>
      <c r="M8" s="38" t="s">
        <v>38</v>
      </c>
      <c r="N8" s="38" t="s">
        <v>39</v>
      </c>
    </row>
    <row r="9" spans="1:12" s="36" customFormat="1" ht="13.5">
      <c r="A9" s="32"/>
      <c r="B9" s="37"/>
      <c r="C9" s="37"/>
      <c r="D9" s="33"/>
      <c r="I9" s="33"/>
      <c r="L9" s="33"/>
    </row>
    <row r="10" spans="1:14" ht="13.5">
      <c r="A10" s="39">
        <v>40651</v>
      </c>
      <c r="B10" s="40">
        <v>9</v>
      </c>
      <c r="C10" s="40">
        <v>17</v>
      </c>
      <c r="D10" s="41">
        <v>56</v>
      </c>
      <c r="E10" s="42">
        <f>D10*$C$4+$D$4</f>
        <v>524.68</v>
      </c>
      <c r="F10" s="42">
        <f>E10/$B$4</f>
        <v>138.62087186261556</v>
      </c>
      <c r="G10" s="42"/>
      <c r="H10" s="42"/>
      <c r="I10" s="43"/>
      <c r="J10" s="42"/>
      <c r="K10" s="42"/>
      <c r="L10" s="41"/>
      <c r="M10" s="44">
        <v>0</v>
      </c>
      <c r="N10" s="44"/>
    </row>
    <row r="11" spans="1:14" ht="13.5">
      <c r="A11" s="39">
        <v>40652</v>
      </c>
      <c r="B11" s="40">
        <v>8</v>
      </c>
      <c r="C11" s="40">
        <v>28</v>
      </c>
      <c r="D11" s="41">
        <v>47</v>
      </c>
      <c r="E11" s="42">
        <f>D11*$C$4+$D$4</f>
        <v>429.90999999999997</v>
      </c>
      <c r="F11" s="42">
        <f>E11/$B$4</f>
        <v>113.58256274768823</v>
      </c>
      <c r="G11" s="42">
        <f>E10-E11</f>
        <v>94.76999999999998</v>
      </c>
      <c r="H11" s="42">
        <f>G11/$B$4</f>
        <v>25.03830911492734</v>
      </c>
      <c r="I11" s="43">
        <v>24</v>
      </c>
      <c r="J11" s="42">
        <f>(G11/I11)*24</f>
        <v>94.76999999999998</v>
      </c>
      <c r="K11" s="42">
        <f>J11/$B$4</f>
        <v>25.03830911492734</v>
      </c>
      <c r="L11" s="41">
        <v>10</v>
      </c>
      <c r="M11" s="42" t="s">
        <v>40</v>
      </c>
      <c r="N11" s="42">
        <f>M11/$B$4</f>
        <v>0</v>
      </c>
    </row>
    <row r="12" spans="1:14" ht="13.5">
      <c r="A12" s="39">
        <v>40653</v>
      </c>
      <c r="B12" s="40">
        <v>8</v>
      </c>
      <c r="C12" s="40">
        <v>51</v>
      </c>
      <c r="D12" s="41">
        <v>37</v>
      </c>
      <c r="E12" s="42">
        <f>D12*$C$4+$D$4</f>
        <v>324.60999999999996</v>
      </c>
      <c r="F12" s="42">
        <f>E12/$B$4</f>
        <v>85.76221928665784</v>
      </c>
      <c r="G12" s="42">
        <f>E11-E12</f>
        <v>105.30000000000001</v>
      </c>
      <c r="H12" s="42">
        <f>G12/$B$4</f>
        <v>27.820343461030387</v>
      </c>
      <c r="I12" s="43">
        <v>24</v>
      </c>
      <c r="J12" s="42">
        <f>(G12/I12)*24</f>
        <v>105.30000000000001</v>
      </c>
      <c r="K12" s="42">
        <f>J12/$B$4</f>
        <v>27.820343461030387</v>
      </c>
      <c r="L12" s="41">
        <v>10</v>
      </c>
      <c r="M12" s="42">
        <f>J12/L12</f>
        <v>10.530000000000001</v>
      </c>
      <c r="N12" s="42">
        <f>M12/$B$4</f>
        <v>2.7820343461030386</v>
      </c>
    </row>
    <row r="13" spans="1:14" ht="13.5">
      <c r="A13" s="39">
        <v>40654</v>
      </c>
      <c r="B13" s="1">
        <v>8</v>
      </c>
      <c r="C13" s="1">
        <v>25</v>
      </c>
      <c r="D13" s="1">
        <v>32</v>
      </c>
      <c r="E13" s="42">
        <f>D13*$C$4+$D$4</f>
        <v>271.96</v>
      </c>
      <c r="F13" s="42">
        <f>E13/$B$4</f>
        <v>71.85204755614267</v>
      </c>
      <c r="G13" s="42">
        <f>E12-E13</f>
        <v>52.64999999999998</v>
      </c>
      <c r="H13" s="42">
        <f>G13/$B$4</f>
        <v>13.910171730515184</v>
      </c>
      <c r="I13" s="43">
        <v>24</v>
      </c>
      <c r="J13" s="42">
        <f>(G13/I13)*24</f>
        <v>52.64999999999998</v>
      </c>
      <c r="K13" s="42">
        <f>J13/$B$4</f>
        <v>13.910171730515184</v>
      </c>
      <c r="L13" s="41">
        <v>10</v>
      </c>
      <c r="M13" s="42">
        <f>J13/L13</f>
        <v>5.264999999999998</v>
      </c>
      <c r="N13" s="42">
        <f>M13/$B$4</f>
        <v>1.3910171730515186</v>
      </c>
    </row>
    <row r="14" spans="1:14" ht="13.5">
      <c r="A14" s="39">
        <v>40655</v>
      </c>
      <c r="B14" s="1">
        <v>8</v>
      </c>
      <c r="C14" s="1">
        <v>41</v>
      </c>
      <c r="D14" s="1">
        <v>20</v>
      </c>
      <c r="E14" s="42">
        <f>D14*$C$4+$D$4</f>
        <v>145.6</v>
      </c>
      <c r="F14" s="42">
        <f>E14/$B$4</f>
        <v>38.467635402906204</v>
      </c>
      <c r="G14" s="42">
        <f>E13-E14</f>
        <v>126.35999999999999</v>
      </c>
      <c r="H14" s="42">
        <f>G14/$B$4</f>
        <v>33.384412153236454</v>
      </c>
      <c r="I14" s="1">
        <v>24</v>
      </c>
      <c r="J14" s="42">
        <f>(G14/I14)*24</f>
        <v>126.35999999999999</v>
      </c>
      <c r="K14" s="42">
        <f>J14/$B$4</f>
        <v>33.384412153236454</v>
      </c>
      <c r="L14" s="1">
        <v>10</v>
      </c>
      <c r="M14" s="42">
        <f>J14/L14</f>
        <v>12.636</v>
      </c>
      <c r="N14" s="42">
        <f>M14/$B$4</f>
        <v>3.3384412153236456</v>
      </c>
    </row>
    <row r="15" spans="1:14" ht="13.5">
      <c r="A15" s="39">
        <v>40656</v>
      </c>
      <c r="B15" s="40">
        <v>8</v>
      </c>
      <c r="C15" s="40">
        <v>24</v>
      </c>
      <c r="D15" s="41">
        <v>10</v>
      </c>
      <c r="E15" s="42">
        <f>D15*$C$4+$D$4</f>
        <v>40.3</v>
      </c>
      <c r="F15" s="42">
        <f>E15/$B$4</f>
        <v>10.647291941875825</v>
      </c>
      <c r="G15" s="42">
        <f>E14-E15</f>
        <v>105.3</v>
      </c>
      <c r="H15" s="42">
        <f>G15/$B$4</f>
        <v>27.820343461030383</v>
      </c>
      <c r="I15" s="43">
        <v>24</v>
      </c>
      <c r="J15" s="42">
        <f>(G15/I15)*24</f>
        <v>105.30000000000001</v>
      </c>
      <c r="K15" s="42">
        <f>J15/$B$4</f>
        <v>27.820343461030387</v>
      </c>
      <c r="L15" s="41">
        <v>10</v>
      </c>
      <c r="M15" s="42">
        <f>J15/L15</f>
        <v>10.530000000000001</v>
      </c>
      <c r="N15" s="42">
        <f>M15/$B$4</f>
        <v>2.7820343461030386</v>
      </c>
    </row>
    <row r="16" spans="1:14" ht="13.5">
      <c r="A16" s="39">
        <v>40661</v>
      </c>
      <c r="B16" s="40">
        <v>12</v>
      </c>
      <c r="C16" s="40">
        <v>0</v>
      </c>
      <c r="D16" s="41">
        <v>61</v>
      </c>
      <c r="E16" s="42">
        <f>D16*$C$4+$D$4</f>
        <v>577.3299999999999</v>
      </c>
      <c r="F16" s="42">
        <f>E16/$B$4</f>
        <v>152.53104359313076</v>
      </c>
      <c r="G16" s="42"/>
      <c r="H16" s="42"/>
      <c r="I16" s="43"/>
      <c r="J16" s="42"/>
      <c r="K16" s="42"/>
      <c r="L16" s="41"/>
      <c r="M16" s="42"/>
      <c r="N16" s="42"/>
    </row>
    <row r="17" spans="1:14" ht="13.5">
      <c r="A17" s="39">
        <v>40662</v>
      </c>
      <c r="B17" s="40">
        <v>8</v>
      </c>
      <c r="C17" s="40">
        <v>48</v>
      </c>
      <c r="D17" s="41">
        <v>56</v>
      </c>
      <c r="E17" s="42">
        <f>D17*$C$4+$D$4</f>
        <v>524.68</v>
      </c>
      <c r="F17" s="42">
        <f>E17/$B$4</f>
        <v>138.62087186261556</v>
      </c>
      <c r="G17" s="42">
        <f>E16-E17</f>
        <v>52.64999999999998</v>
      </c>
      <c r="H17" s="42">
        <f>G17/$B$4</f>
        <v>13.910171730515184</v>
      </c>
      <c r="I17" s="43">
        <v>21</v>
      </c>
      <c r="J17" s="42">
        <f>(G17/I17)*24</f>
        <v>60.17142857142855</v>
      </c>
      <c r="K17" s="42">
        <f>J17/$B$4</f>
        <v>15.897339120588784</v>
      </c>
      <c r="L17" s="41">
        <v>8</v>
      </c>
      <c r="M17" s="42">
        <f>J17/L17</f>
        <v>7.521428571428569</v>
      </c>
      <c r="N17" s="42">
        <f>M17/$B$4</f>
        <v>1.987167390073598</v>
      </c>
    </row>
    <row r="18" spans="1:14" ht="13.5">
      <c r="A18" s="39">
        <v>40663</v>
      </c>
      <c r="B18" s="1">
        <v>8</v>
      </c>
      <c r="C18" s="1">
        <v>19</v>
      </c>
      <c r="D18" s="1">
        <v>50</v>
      </c>
      <c r="E18" s="42">
        <f>D18*$C$4+$D$4</f>
        <v>461.5</v>
      </c>
      <c r="F18" s="42">
        <f>E18/$B$4</f>
        <v>121.92866578599735</v>
      </c>
      <c r="G18" s="42">
        <f>E17-E18</f>
        <v>63.17999999999995</v>
      </c>
      <c r="H18" s="42">
        <f>G18/$B$4</f>
        <v>16.692206076618216</v>
      </c>
      <c r="I18" s="1">
        <v>24</v>
      </c>
      <c r="J18" s="42">
        <f>(G18/I18)*24</f>
        <v>63.17999999999995</v>
      </c>
      <c r="K18" s="42">
        <f>J18/$B$4</f>
        <v>16.692206076618216</v>
      </c>
      <c r="L18" s="1">
        <v>7</v>
      </c>
      <c r="M18" s="42">
        <f>J18/L18</f>
        <v>9.025714285714278</v>
      </c>
      <c r="N18" s="42">
        <f>M18/$B$4</f>
        <v>2.384600868088316</v>
      </c>
    </row>
    <row r="19" spans="1:14" ht="13.5">
      <c r="A19" s="39">
        <v>40664</v>
      </c>
      <c r="B19" s="1">
        <v>8</v>
      </c>
      <c r="C19" s="1">
        <v>43</v>
      </c>
      <c r="D19" s="1">
        <v>42</v>
      </c>
      <c r="E19" s="42">
        <f>D19*$C$4+$D$4</f>
        <v>377.26</v>
      </c>
      <c r="F19" s="42">
        <f>E19/$B$4</f>
        <v>99.67239101717304</v>
      </c>
      <c r="G19" s="42">
        <f>E18-E19</f>
        <v>84.24000000000001</v>
      </c>
      <c r="H19" s="42">
        <f>G19/$B$4</f>
        <v>22.25627476882431</v>
      </c>
      <c r="I19" s="1">
        <v>24</v>
      </c>
      <c r="J19" s="42">
        <f>(G19/I19)*24</f>
        <v>84.24000000000001</v>
      </c>
      <c r="K19" s="42">
        <f>J19/$B$4</f>
        <v>22.25627476882431</v>
      </c>
      <c r="L19" s="1">
        <v>7</v>
      </c>
      <c r="M19" s="42">
        <f>J19/L19</f>
        <v>12.034285714285716</v>
      </c>
      <c r="N19" s="42">
        <f>M19/$B$4</f>
        <v>3.1794678241177583</v>
      </c>
    </row>
    <row r="20" spans="1:14" ht="13.5">
      <c r="A20" s="39">
        <v>40665</v>
      </c>
      <c r="B20" s="1">
        <v>8</v>
      </c>
      <c r="C20" s="1">
        <v>44</v>
      </c>
      <c r="D20" s="1">
        <v>36</v>
      </c>
      <c r="E20" s="42">
        <f>D20*$C$4+$D$4</f>
        <v>314.08</v>
      </c>
      <c r="F20" s="42">
        <f>E20/$B$4</f>
        <v>82.98018494055482</v>
      </c>
      <c r="G20" s="42">
        <f>E19-E20</f>
        <v>63.18000000000001</v>
      </c>
      <c r="H20" s="42">
        <f>G20/$B$4</f>
        <v>16.69220607661823</v>
      </c>
      <c r="I20" s="1">
        <v>24</v>
      </c>
      <c r="J20" s="42">
        <f>(G20/I20)*24</f>
        <v>63.18000000000001</v>
      </c>
      <c r="K20" s="42">
        <f>J20/$B$4</f>
        <v>16.69220607661823</v>
      </c>
      <c r="L20" s="1">
        <v>7</v>
      </c>
      <c r="M20" s="42">
        <f>J20/L20</f>
        <v>9.025714285714287</v>
      </c>
      <c r="N20" s="42">
        <f>M20/$B$4</f>
        <v>2.384600868088319</v>
      </c>
    </row>
    <row r="21" spans="1:14" ht="13.5">
      <c r="A21" s="39">
        <v>40665</v>
      </c>
      <c r="B21" s="1">
        <v>17</v>
      </c>
      <c r="C21" s="1">
        <v>0</v>
      </c>
      <c r="D21" s="1">
        <v>61</v>
      </c>
      <c r="E21" s="42">
        <f>D21*$C$4+$D$4</f>
        <v>577.3299999999999</v>
      </c>
      <c r="F21" s="42">
        <f>E21/$B$4</f>
        <v>152.53104359313076</v>
      </c>
      <c r="G21" s="42"/>
      <c r="H21" s="42"/>
      <c r="J21" s="42"/>
      <c r="K21" s="42"/>
      <c r="M21" s="42"/>
      <c r="N21" s="42"/>
    </row>
    <row r="22" spans="1:14" ht="13.5">
      <c r="A22" s="39">
        <v>40666</v>
      </c>
      <c r="B22" s="1">
        <v>8</v>
      </c>
      <c r="C22" s="1">
        <v>37</v>
      </c>
      <c r="D22" s="1">
        <v>57</v>
      </c>
      <c r="E22" s="42">
        <f>D22*$C$4+$D$4</f>
        <v>535.2099999999999</v>
      </c>
      <c r="F22" s="42">
        <f>E22/$B$4</f>
        <v>141.4029062087186</v>
      </c>
      <c r="G22" s="42">
        <f>E21-E22</f>
        <v>42.120000000000005</v>
      </c>
      <c r="H22" s="42">
        <f>G22/$B$4</f>
        <v>11.128137384412154</v>
      </c>
      <c r="I22" s="1">
        <v>15</v>
      </c>
      <c r="J22" s="42">
        <f>(G22/I22)*24</f>
        <v>67.39200000000001</v>
      </c>
      <c r="K22" s="42">
        <f>J22/$B$4</f>
        <v>17.805019815059445</v>
      </c>
      <c r="L22" s="1">
        <v>8</v>
      </c>
      <c r="M22" s="42">
        <f>J22/L22</f>
        <v>8.424000000000001</v>
      </c>
      <c r="N22" s="42">
        <f>M22/$B$4</f>
        <v>2.2256274768824307</v>
      </c>
    </row>
    <row r="23" spans="1:14" ht="13.5">
      <c r="A23" s="39">
        <v>40667</v>
      </c>
      <c r="B23" s="1">
        <v>7</v>
      </c>
      <c r="C23" s="1">
        <v>45</v>
      </c>
      <c r="D23" s="1">
        <v>54</v>
      </c>
      <c r="E23" s="42">
        <f>D23*$C$4+$D$4</f>
        <v>503.62</v>
      </c>
      <c r="F23" s="42">
        <f>E23/$B$4</f>
        <v>133.0568031704095</v>
      </c>
      <c r="G23" s="42">
        <f>E22-E23</f>
        <v>31.589999999999918</v>
      </c>
      <c r="H23" s="42">
        <f>G23/$B$4</f>
        <v>8.346103038309092</v>
      </c>
      <c r="I23" s="1">
        <v>24</v>
      </c>
      <c r="J23" s="42">
        <f>(G23/I23)*24</f>
        <v>31.589999999999918</v>
      </c>
      <c r="K23" s="42">
        <f>J23/$B$4</f>
        <v>8.346103038309092</v>
      </c>
      <c r="L23" s="1">
        <v>8</v>
      </c>
      <c r="M23" s="42">
        <f>J23/L23</f>
        <v>3.9487499999999898</v>
      </c>
      <c r="N23" s="42">
        <f>M23/$B$4</f>
        <v>1.0432628797886365</v>
      </c>
    </row>
    <row r="24" spans="1:14" ht="13.5">
      <c r="A24" s="39">
        <v>-507194</v>
      </c>
      <c r="B24" s="1">
        <v>8</v>
      </c>
      <c r="C24" s="1">
        <v>12</v>
      </c>
      <c r="D24" s="1">
        <v>44</v>
      </c>
      <c r="E24" s="42">
        <f>D24*$C$4+$D$4</f>
        <v>398.32</v>
      </c>
      <c r="F24" s="42">
        <f>E24/$B$4</f>
        <v>105.23645970937912</v>
      </c>
      <c r="G24" s="42">
        <f>E23-E24</f>
        <v>105.30000000000001</v>
      </c>
      <c r="H24" s="42">
        <f>G24/$B$4</f>
        <v>27.820343461030387</v>
      </c>
      <c r="I24" s="1">
        <v>24</v>
      </c>
      <c r="J24" s="42">
        <f>(G24/I24)*24</f>
        <v>105.30000000000001</v>
      </c>
      <c r="K24" s="42">
        <f>J24/$B$4</f>
        <v>27.820343461030387</v>
      </c>
      <c r="L24" s="1">
        <v>8</v>
      </c>
      <c r="M24" s="42">
        <f>J24/L24</f>
        <v>13.162500000000001</v>
      </c>
      <c r="N24" s="42">
        <f>M24/$B$4</f>
        <v>3.4775429326287983</v>
      </c>
    </row>
    <row r="25" spans="1:14" ht="13.5">
      <c r="A25" s="39">
        <v>40669</v>
      </c>
      <c r="B25" s="1">
        <v>1</v>
      </c>
      <c r="C25" s="1">
        <v>23</v>
      </c>
      <c r="D25" s="1">
        <v>38</v>
      </c>
      <c r="E25" s="42">
        <f>D25*$C$4+$D$4</f>
        <v>335.14</v>
      </c>
      <c r="F25" s="42">
        <f>E25/$B$4</f>
        <v>88.54425363276088</v>
      </c>
      <c r="G25" s="42">
        <f>E24-E25</f>
        <v>63.18000000000001</v>
      </c>
      <c r="H25" s="42">
        <f>G25/$B$4</f>
        <v>16.69220607661823</v>
      </c>
      <c r="I25" s="1">
        <v>29</v>
      </c>
      <c r="J25" s="42">
        <f>(G25/I25)*24</f>
        <v>52.28689655172414</v>
      </c>
      <c r="K25" s="42">
        <f>J25/$B$4</f>
        <v>13.814239511684052</v>
      </c>
      <c r="L25" s="1">
        <v>8</v>
      </c>
      <c r="M25" s="42">
        <f>J25/L25</f>
        <v>6.535862068965518</v>
      </c>
      <c r="N25" s="42">
        <f>M25/$B$4</f>
        <v>1.7267799389605065</v>
      </c>
    </row>
    <row r="26" spans="1:14" ht="13.5">
      <c r="A26" s="39">
        <v>40669</v>
      </c>
      <c r="B26" s="1">
        <v>18</v>
      </c>
      <c r="C26" s="1">
        <v>0</v>
      </c>
      <c r="D26" s="1">
        <v>61</v>
      </c>
      <c r="E26" s="42">
        <f>D26*$C$4+$D$4</f>
        <v>577.3299999999999</v>
      </c>
      <c r="F26" s="42">
        <f>E26/$B$4</f>
        <v>152.53104359313076</v>
      </c>
      <c r="G26" s="42"/>
      <c r="H26" s="42"/>
      <c r="J26" s="42"/>
      <c r="K26" s="42"/>
      <c r="M26" s="42"/>
      <c r="N26" s="42"/>
    </row>
    <row r="27" spans="1:14" ht="13.5">
      <c r="A27" s="39">
        <v>40670</v>
      </c>
      <c r="B27" s="1">
        <v>8</v>
      </c>
      <c r="C27" s="1">
        <v>15</v>
      </c>
      <c r="D27" s="1">
        <v>59</v>
      </c>
      <c r="E27" s="42">
        <f>D27*$C$4+$D$4</f>
        <v>556.27</v>
      </c>
      <c r="F27" s="42">
        <f>E27/$B$4</f>
        <v>146.9669749009247</v>
      </c>
      <c r="G27" s="42">
        <f>E26-E27</f>
        <v>21.059999999999945</v>
      </c>
      <c r="H27" s="42">
        <f>G27/$B$4</f>
        <v>5.564068692206062</v>
      </c>
      <c r="I27" s="1">
        <v>19</v>
      </c>
      <c r="J27" s="42">
        <f>(G27/I27)*24</f>
        <v>26.602105263157824</v>
      </c>
      <c r="K27" s="42">
        <f>J27/$B$4</f>
        <v>7.0282972954181835</v>
      </c>
      <c r="L27" s="1">
        <v>8</v>
      </c>
      <c r="M27" s="42">
        <f>J27/L27</f>
        <v>3.325263157894728</v>
      </c>
      <c r="N27" s="42">
        <f>M27/$B$4</f>
        <v>0.8785371619272729</v>
      </c>
    </row>
    <row r="28" spans="1:14" ht="13.5">
      <c r="A28" s="39">
        <v>40671</v>
      </c>
      <c r="B28" s="1">
        <v>8</v>
      </c>
      <c r="C28" s="1">
        <v>36</v>
      </c>
      <c r="D28" s="1">
        <v>55</v>
      </c>
      <c r="E28" s="42">
        <f>D28*$C$4+$D$4</f>
        <v>514.15</v>
      </c>
      <c r="F28" s="42">
        <f>E28/$B$4</f>
        <v>135.83883751651254</v>
      </c>
      <c r="G28" s="42">
        <f>E27-E28</f>
        <v>42.120000000000005</v>
      </c>
      <c r="H28" s="42">
        <f>G28/$B$4</f>
        <v>11.128137384412154</v>
      </c>
      <c r="I28" s="1">
        <v>24</v>
      </c>
      <c r="J28" s="42">
        <f>(G28/I28)*24</f>
        <v>42.120000000000005</v>
      </c>
      <c r="K28" s="42">
        <f>J28/$B$4</f>
        <v>11.128137384412154</v>
      </c>
      <c r="L28" s="1">
        <v>7</v>
      </c>
      <c r="M28" s="42">
        <f>J28/L28</f>
        <v>6.017142857142858</v>
      </c>
      <c r="N28" s="42">
        <f>M28/$B$4</f>
        <v>1.5897339120588792</v>
      </c>
    </row>
    <row r="29" spans="1:14" ht="13.5">
      <c r="A29" s="39">
        <v>40672</v>
      </c>
      <c r="B29" s="1">
        <v>8</v>
      </c>
      <c r="C29" s="1">
        <v>20</v>
      </c>
      <c r="D29" s="1">
        <v>47</v>
      </c>
      <c r="E29" s="42">
        <f>D29*$C$4+$D$4</f>
        <v>429.90999999999997</v>
      </c>
      <c r="F29" s="42">
        <f>E29/$B$4</f>
        <v>113.58256274768823</v>
      </c>
      <c r="G29" s="42">
        <f>E28-E29</f>
        <v>84.24000000000001</v>
      </c>
      <c r="H29" s="42">
        <f>G29/$B$4</f>
        <v>22.25627476882431</v>
      </c>
      <c r="I29" s="1">
        <v>24</v>
      </c>
      <c r="J29" s="42">
        <f>(G29/I29)*24</f>
        <v>84.24000000000001</v>
      </c>
      <c r="K29" s="42">
        <f>J29/$B$4</f>
        <v>22.25627476882431</v>
      </c>
      <c r="L29" s="1">
        <v>7</v>
      </c>
      <c r="M29" s="42">
        <f>J29/L29</f>
        <v>12.034285714285716</v>
      </c>
      <c r="N29" s="42">
        <f>M29/$B$4</f>
        <v>3.1794678241177583</v>
      </c>
    </row>
    <row r="30" spans="1:14" ht="13.5">
      <c r="A30" s="39">
        <v>40673</v>
      </c>
      <c r="B30" s="1">
        <v>8</v>
      </c>
      <c r="C30" s="1">
        <v>40</v>
      </c>
      <c r="D30" s="1">
        <v>41</v>
      </c>
      <c r="E30" s="42">
        <f>D30*$C$4+$D$4</f>
        <v>366.72999999999996</v>
      </c>
      <c r="F30" s="42">
        <f>E30/$B$4</f>
        <v>96.89035667107</v>
      </c>
      <c r="G30" s="42">
        <f>E29-E30</f>
        <v>63.18000000000001</v>
      </c>
      <c r="H30" s="42">
        <f>G30/$B$4</f>
        <v>16.69220607661823</v>
      </c>
      <c r="I30" s="1">
        <v>24</v>
      </c>
      <c r="J30" s="42">
        <f>(G30/I30)*24</f>
        <v>63.18000000000001</v>
      </c>
      <c r="K30" s="42">
        <f>J30/$B$4</f>
        <v>16.69220607661823</v>
      </c>
      <c r="L30" s="1">
        <v>8</v>
      </c>
      <c r="M30" s="42">
        <f>J30/L30</f>
        <v>7.897500000000001</v>
      </c>
      <c r="N30" s="42">
        <f>M30/$B$4</f>
        <v>2.086525759577279</v>
      </c>
    </row>
    <row r="31" spans="1:14" ht="13.5">
      <c r="A31" s="39"/>
      <c r="E31" s="42">
        <f>D31*$C$4+$D$4</f>
        <v>-65</v>
      </c>
      <c r="F31" s="42">
        <f>E31/$B$4</f>
        <v>-17.17305151915456</v>
      </c>
      <c r="H31" s="42"/>
      <c r="J31" s="42"/>
      <c r="K31" s="42"/>
      <c r="M31" s="42"/>
      <c r="N31" s="42"/>
    </row>
    <row r="32" spans="1:14" ht="13.5">
      <c r="A32" s="39"/>
      <c r="E32" s="42">
        <f>D32*$C$4+$D$4</f>
        <v>-65</v>
      </c>
      <c r="F32" s="42">
        <f>E32/$B$4</f>
        <v>-17.17305151915456</v>
      </c>
      <c r="G32" s="44">
        <f>E31-E32</f>
        <v>0</v>
      </c>
      <c r="H32" s="42">
        <f>G32/$B$4</f>
        <v>0</v>
      </c>
      <c r="J32" s="42" t="e">
        <f>(G32/I32)*24</f>
        <v>#DIV/0!</v>
      </c>
      <c r="K32" s="42" t="e">
        <f>J32/$B$4</f>
        <v>#DIV/0!</v>
      </c>
      <c r="M32" s="42" t="e">
        <f>J32/L32</f>
        <v>#DIV/0!</v>
      </c>
      <c r="N32" s="42" t="e">
        <f>M32/$B$4</f>
        <v>#DIV/0!</v>
      </c>
    </row>
    <row r="33" spans="1:14" ht="13.5">
      <c r="A33" s="39"/>
      <c r="E33" s="42">
        <f>D33*$C$4+$D$4</f>
        <v>-65</v>
      </c>
      <c r="F33" s="42">
        <f>E33/$B$4</f>
        <v>-17.17305151915456</v>
      </c>
      <c r="G33" s="44">
        <f>E32-E33</f>
        <v>0</v>
      </c>
      <c r="H33" s="42">
        <f>G33/$B$4</f>
        <v>0</v>
      </c>
      <c r="J33" s="42" t="e">
        <f>(G33/I33)*24</f>
        <v>#DIV/0!</v>
      </c>
      <c r="K33" s="42" t="e">
        <f>J33/$B$4</f>
        <v>#DIV/0!</v>
      </c>
      <c r="M33" s="42" t="e">
        <f>J33/L33</f>
        <v>#DIV/0!</v>
      </c>
      <c r="N33" s="42" t="e">
        <f>M33/$B$4</f>
        <v>#DIV/0!</v>
      </c>
    </row>
    <row r="34" spans="1:14" ht="13.5">
      <c r="A34" s="39"/>
      <c r="E34" s="42">
        <f>D34*$C$4+$D$4</f>
        <v>-65</v>
      </c>
      <c r="F34" s="42">
        <f>E34/$B$4</f>
        <v>-17.17305151915456</v>
      </c>
      <c r="G34" s="44">
        <f>E33-E34</f>
        <v>0</v>
      </c>
      <c r="H34" s="42">
        <f>G34/$B$4</f>
        <v>0</v>
      </c>
      <c r="J34" s="42" t="e">
        <f>(G34/I34)*24</f>
        <v>#DIV/0!</v>
      </c>
      <c r="K34" s="42" t="e">
        <f>J34/$B$4</f>
        <v>#DIV/0!</v>
      </c>
      <c r="M34" s="42" t="e">
        <f>J34/L34</f>
        <v>#DIV/0!</v>
      </c>
      <c r="N34" s="42" t="e">
        <f>M34/$B$4</f>
        <v>#DIV/0!</v>
      </c>
    </row>
    <row r="35" spans="1:6" ht="13.5">
      <c r="A35" s="39"/>
      <c r="E35" s="42">
        <f>D35*$C$4+$D$4</f>
        <v>-65</v>
      </c>
      <c r="F35" s="42">
        <f>E35/$B$4</f>
        <v>-17.17305151915456</v>
      </c>
    </row>
    <row r="36" spans="1:14" ht="13.5">
      <c r="A36" s="39"/>
      <c r="E36" s="42">
        <f>D36*$C$4+$D$4</f>
        <v>-65</v>
      </c>
      <c r="F36" s="42">
        <f>E36/$B$4</f>
        <v>-17.17305151915456</v>
      </c>
      <c r="G36" s="44">
        <f>E35-E36</f>
        <v>0</v>
      </c>
      <c r="H36" s="42">
        <f>G36/$B$4</f>
        <v>0</v>
      </c>
      <c r="J36" s="42" t="e">
        <f>(G36/I36)*24</f>
        <v>#DIV/0!</v>
      </c>
      <c r="K36" s="42" t="e">
        <f>J36/$B$4</f>
        <v>#DIV/0!</v>
      </c>
      <c r="M36" s="42" t="e">
        <f>J36/L36</f>
        <v>#DIV/0!</v>
      </c>
      <c r="N36" s="42" t="e">
        <f>M36/$B$4</f>
        <v>#DIV/0!</v>
      </c>
    </row>
    <row r="37" spans="1:14" ht="13.5">
      <c r="A37" s="39"/>
      <c r="E37" s="42">
        <f>D37*$C$4+$D$4</f>
        <v>-65</v>
      </c>
      <c r="F37" s="42">
        <f>E37/$B$4</f>
        <v>-17.17305151915456</v>
      </c>
      <c r="G37" s="44">
        <f>E36-E37</f>
        <v>0</v>
      </c>
      <c r="H37" s="42">
        <f>G37/$B$4</f>
        <v>0</v>
      </c>
      <c r="J37" s="42" t="e">
        <f>(G37/I37)*24</f>
        <v>#DIV/0!</v>
      </c>
      <c r="K37" s="42" t="e">
        <f>J37/$B$4</f>
        <v>#DIV/0!</v>
      </c>
      <c r="M37" s="42" t="e">
        <f>J37/L37</f>
        <v>#DIV/0!</v>
      </c>
      <c r="N37" s="42" t="e">
        <f>M37/$B$4</f>
        <v>#DIV/0!</v>
      </c>
    </row>
    <row r="38" spans="1:14" ht="13.5">
      <c r="A38" s="39"/>
      <c r="E38" s="42">
        <f>D38*$C$4+$D$4</f>
        <v>-65</v>
      </c>
      <c r="F38" s="42">
        <f>E38/$B$4</f>
        <v>-17.17305151915456</v>
      </c>
      <c r="G38" s="44">
        <f>E37-E38</f>
        <v>0</v>
      </c>
      <c r="H38" s="42">
        <f>G38/$B$4</f>
        <v>0</v>
      </c>
      <c r="J38" s="42" t="e">
        <f>(G38/I38)*24</f>
        <v>#DIV/0!</v>
      </c>
      <c r="K38" s="42" t="e">
        <f>J38/$B$4</f>
        <v>#DIV/0!</v>
      </c>
      <c r="M38" s="42" t="e">
        <f>J38/L38</f>
        <v>#DIV/0!</v>
      </c>
      <c r="N38" s="42" t="e">
        <f>M38/$B$4</f>
        <v>#DIV/0!</v>
      </c>
    </row>
    <row r="39" spans="1:14" ht="13.5">
      <c r="A39" s="39"/>
      <c r="E39" s="42">
        <f>D39*$C$4+$D$4</f>
        <v>-65</v>
      </c>
      <c r="F39" s="42">
        <f>E39/$B$4</f>
        <v>-17.17305151915456</v>
      </c>
      <c r="G39" s="44">
        <f>E38-E39</f>
        <v>0</v>
      </c>
      <c r="H39" s="42">
        <f>G39/$B$4</f>
        <v>0</v>
      </c>
      <c r="J39" s="42" t="e">
        <f>(G39/I39)*24</f>
        <v>#DIV/0!</v>
      </c>
      <c r="K39" s="42" t="e">
        <f>J39/$B$4</f>
        <v>#DIV/0!</v>
      </c>
      <c r="M39" s="42" t="e">
        <f>J39/L39</f>
        <v>#DIV/0!</v>
      </c>
      <c r="N39" s="42" t="e">
        <f>M39/$B$4</f>
        <v>#DIV/0!</v>
      </c>
    </row>
    <row r="40" spans="1:14" ht="22.5" customHeight="1">
      <c r="A40" s="39"/>
      <c r="E40" s="42">
        <f>D40*$C$4+$D$4</f>
        <v>-65</v>
      </c>
      <c r="F40" s="42">
        <f>E40/$B$4</f>
        <v>-17.17305151915456</v>
      </c>
      <c r="H40" s="42"/>
      <c r="J40" s="42"/>
      <c r="K40" s="42"/>
      <c r="M40" s="42"/>
      <c r="N40" s="42"/>
    </row>
    <row r="41" spans="1:14" ht="13.5">
      <c r="A41" s="39"/>
      <c r="E41" s="42">
        <f>D41*$C$4+$D$4</f>
        <v>-65</v>
      </c>
      <c r="F41" s="42">
        <f>E41/$B$4</f>
        <v>-17.17305151915456</v>
      </c>
      <c r="G41" s="44">
        <f>E40-E41</f>
        <v>0</v>
      </c>
      <c r="H41" s="42">
        <f>G41/$B$4</f>
        <v>0</v>
      </c>
      <c r="J41" s="42" t="e">
        <f>(G41/I41)*24</f>
        <v>#DIV/0!</v>
      </c>
      <c r="K41" s="42" t="e">
        <f>J41/$B$4</f>
        <v>#DIV/0!</v>
      </c>
      <c r="M41" s="42" t="e">
        <f>J41/L41</f>
        <v>#DIV/0!</v>
      </c>
      <c r="N41" s="42" t="e">
        <f>M41/$B$4</f>
        <v>#DIV/0!</v>
      </c>
    </row>
    <row r="42" spans="1:14" ht="13.5">
      <c r="A42" s="39"/>
      <c r="E42" s="42">
        <f>D42*$C$4+$D$4</f>
        <v>-65</v>
      </c>
      <c r="F42" s="42">
        <f>E42/$B$4</f>
        <v>-17.17305151915456</v>
      </c>
      <c r="G42" s="44">
        <f>E41-E42</f>
        <v>0</v>
      </c>
      <c r="H42" s="42">
        <f>G42/$B$4</f>
        <v>0</v>
      </c>
      <c r="J42" s="42" t="e">
        <f>(G42/I42)*24</f>
        <v>#DIV/0!</v>
      </c>
      <c r="K42" s="42" t="e">
        <f>J42/$B$4</f>
        <v>#DIV/0!</v>
      </c>
      <c r="M42" s="42" t="e">
        <f>J42/L42</f>
        <v>#DIV/0!</v>
      </c>
      <c r="N42" s="42" t="e">
        <f>M42/$B$4</f>
        <v>#DIV/0!</v>
      </c>
    </row>
    <row r="43" spans="1:14" ht="13.5">
      <c r="A43" s="39"/>
      <c r="E43" s="42">
        <f>D43*$C$4+$D$4</f>
        <v>-65</v>
      </c>
      <c r="F43" s="42">
        <f>E43/$B$4</f>
        <v>-17.17305151915456</v>
      </c>
      <c r="G43" s="44">
        <f>E42-E43</f>
        <v>0</v>
      </c>
      <c r="H43" s="42">
        <f>G43/$B$4</f>
        <v>0</v>
      </c>
      <c r="J43" s="42" t="e">
        <f>(G43/I43)*24</f>
        <v>#DIV/0!</v>
      </c>
      <c r="K43" s="42" t="e">
        <f>J43/$B$4</f>
        <v>#DIV/0!</v>
      </c>
      <c r="M43" s="42" t="e">
        <f>J43/L43</f>
        <v>#DIV/0!</v>
      </c>
      <c r="N43" s="42" t="e">
        <f>M43/$B$4</f>
        <v>#DIV/0!</v>
      </c>
    </row>
    <row r="44" spans="1:14" ht="13.5">
      <c r="A44" s="39"/>
      <c r="E44" s="42">
        <f>D44*$C$4+$D$4</f>
        <v>-65</v>
      </c>
      <c r="F44" s="42">
        <f>E44/$B$4</f>
        <v>-17.17305151915456</v>
      </c>
      <c r="G44" s="44">
        <f>E43-E44</f>
        <v>0</v>
      </c>
      <c r="H44" s="42">
        <f>G44/$B$4</f>
        <v>0</v>
      </c>
      <c r="J44" s="42" t="e">
        <f>(G44/I44)*24</f>
        <v>#DIV/0!</v>
      </c>
      <c r="K44" s="42" t="e">
        <f>J44/$B$4</f>
        <v>#DIV/0!</v>
      </c>
      <c r="M44" s="42" t="e">
        <f>J44/L44</f>
        <v>#DIV/0!</v>
      </c>
      <c r="N44" s="42" t="e">
        <f>M44/$B$4</f>
        <v>#DIV/0!</v>
      </c>
    </row>
    <row r="45" spans="1:14" ht="13.5">
      <c r="A45" s="39"/>
      <c r="E45" s="42">
        <f>D45*$C$4+$D$4</f>
        <v>-65</v>
      </c>
      <c r="F45" s="42">
        <f>E45/$B$4</f>
        <v>-17.17305151915456</v>
      </c>
      <c r="G45" s="44">
        <f>E44-E45</f>
        <v>0</v>
      </c>
      <c r="H45" s="42">
        <f>G45/$B$4</f>
        <v>0</v>
      </c>
      <c r="I45" s="45"/>
      <c r="J45" s="42" t="e">
        <f>(G45/I45)*24</f>
        <v>#DIV/0!</v>
      </c>
      <c r="K45" s="42" t="e">
        <f>J45/$B$4</f>
        <v>#DIV/0!</v>
      </c>
      <c r="M45" s="42" t="e">
        <f>J45/L45</f>
        <v>#DIV/0!</v>
      </c>
      <c r="N45" s="42" t="e">
        <f>M45/$B$4</f>
        <v>#DIV/0!</v>
      </c>
    </row>
    <row r="46" spans="1:14" ht="13.5">
      <c r="A46" s="39"/>
      <c r="E46" s="42">
        <f>D46*$C$4+$D$4</f>
        <v>-65</v>
      </c>
      <c r="F46" s="42">
        <f>E46/$B$4</f>
        <v>-17.17305151915456</v>
      </c>
      <c r="G46" s="44">
        <f>E45-E46</f>
        <v>0</v>
      </c>
      <c r="H46" s="42">
        <f>G46/$B$4</f>
        <v>0</v>
      </c>
      <c r="J46" s="42" t="e">
        <f>(G46/I46)*24</f>
        <v>#DIV/0!</v>
      </c>
      <c r="K46" s="42" t="e">
        <f>J46/$B$4</f>
        <v>#DIV/0!</v>
      </c>
      <c r="M46" s="42" t="e">
        <f>J46/L46</f>
        <v>#DIV/0!</v>
      </c>
      <c r="N46" s="42" t="e">
        <f>M46/$B$4</f>
        <v>#DIV/0!</v>
      </c>
    </row>
    <row r="47" spans="1:14" ht="13.5">
      <c r="A47" s="39"/>
      <c r="E47" s="42">
        <f>D47*$C$4+$D$4</f>
        <v>-65</v>
      </c>
      <c r="F47" s="42">
        <f>E47/$B$4</f>
        <v>-17.17305151915456</v>
      </c>
      <c r="G47" s="44">
        <f>E46-E47</f>
        <v>0</v>
      </c>
      <c r="H47" s="42">
        <f>G47/$B$4</f>
        <v>0</v>
      </c>
      <c r="J47" s="42" t="e">
        <f>(G47/I47)*24</f>
        <v>#DIV/0!</v>
      </c>
      <c r="K47" s="42" t="e">
        <f>J47/$B$4</f>
        <v>#DIV/0!</v>
      </c>
      <c r="M47" s="42" t="e">
        <f>J47/L47</f>
        <v>#DIV/0!</v>
      </c>
      <c r="N47" s="42" t="e">
        <f>M47/$B$4</f>
        <v>#DIV/0!</v>
      </c>
    </row>
    <row r="48" spans="1:6" ht="13.5">
      <c r="A48" s="39"/>
      <c r="E48" s="42">
        <f>D48*$C$4+$D$4</f>
        <v>-65</v>
      </c>
      <c r="F48" s="42">
        <f>E48/$B$4</f>
        <v>-17.17305151915456</v>
      </c>
    </row>
    <row r="49" spans="1:14" ht="13.5">
      <c r="A49" s="39"/>
      <c r="E49" s="42">
        <f>D49*$C$4+$D$4</f>
        <v>-65</v>
      </c>
      <c r="F49" s="42">
        <f>E49/$B$4</f>
        <v>-17.17305151915456</v>
      </c>
      <c r="G49" s="44">
        <f>E48-E49</f>
        <v>0</v>
      </c>
      <c r="H49" s="42">
        <f>G49/$B$4</f>
        <v>0</v>
      </c>
      <c r="J49" s="42" t="e">
        <f>(G49/I49)*24</f>
        <v>#DIV/0!</v>
      </c>
      <c r="K49" s="42" t="e">
        <f>J49/$B$4</f>
        <v>#DIV/0!</v>
      </c>
      <c r="M49" s="42" t="e">
        <f>J49/L49</f>
        <v>#DIV/0!</v>
      </c>
      <c r="N49" s="42" t="e">
        <f>M49/$B$4</f>
        <v>#DIV/0!</v>
      </c>
    </row>
    <row r="50" spans="1:14" ht="13.5">
      <c r="A50" s="39"/>
      <c r="E50" s="42">
        <f>D50*$C$4+$D$4</f>
        <v>-65</v>
      </c>
      <c r="F50" s="42">
        <f>E50/$B$4</f>
        <v>-17.17305151915456</v>
      </c>
      <c r="G50" s="44">
        <f>E49-E50</f>
        <v>0</v>
      </c>
      <c r="H50" s="42">
        <f>G50/$B$4</f>
        <v>0</v>
      </c>
      <c r="J50" s="42" t="e">
        <f>(G50/I50)*24</f>
        <v>#DIV/0!</v>
      </c>
      <c r="K50" s="42" t="e">
        <f>J50/$B$4</f>
        <v>#DIV/0!</v>
      </c>
      <c r="M50" s="42" t="e">
        <f>J50/L50</f>
        <v>#DIV/0!</v>
      </c>
      <c r="N50" s="42" t="e">
        <f>M50/$B$4</f>
        <v>#DIV/0!</v>
      </c>
    </row>
    <row r="51" ht="13.5">
      <c r="E51" s="42"/>
    </row>
    <row r="52" ht="13.5">
      <c r="E52" s="42"/>
    </row>
    <row r="53" ht="13.5">
      <c r="E53" s="42"/>
    </row>
    <row r="54" ht="13.5">
      <c r="E54" s="42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80" zoomScaleNormal="80" zoomScaleSheetLayoutView="110" workbookViewId="0" topLeftCell="A1">
      <pane ySplit="8" topLeftCell="A23" activePane="bottomLeft" state="frozen"/>
      <selection pane="topLeft" activeCell="A1" sqref="A1"/>
      <selection pane="bottomLeft" activeCell="D31" sqref="D31"/>
    </sheetView>
  </sheetViews>
  <sheetFormatPr defaultColWidth="12.57421875" defaultRowHeight="15"/>
  <cols>
    <col min="1" max="1" width="20.00390625" style="1" customWidth="1"/>
    <col min="2" max="3" width="5.8515625" style="1" customWidth="1"/>
    <col min="4" max="4" width="12.7109375" style="1" customWidth="1"/>
    <col min="5" max="5" width="8.7109375" style="0" customWidth="1"/>
    <col min="6" max="6" width="11.421875" style="0" customWidth="1"/>
    <col min="7" max="7" width="9.28125" style="1" customWidth="1"/>
    <col min="8" max="9" width="7.8515625" style="0" customWidth="1"/>
    <col min="10" max="10" width="7.8515625" style="1" customWidth="1"/>
    <col min="11" max="11" width="9.7109375" style="31" customWidth="1"/>
    <col min="12" max="14" width="9.28125" style="0" customWidth="1"/>
    <col min="15" max="15" width="40.140625" style="0" customWidth="1"/>
    <col min="16" max="16384" width="11.8515625" style="0" customWidth="1"/>
  </cols>
  <sheetData>
    <row r="1" spans="1:14" ht="13.5">
      <c r="A1" s="46" t="s">
        <v>41</v>
      </c>
      <c r="B1" s="46"/>
      <c r="C1" s="46"/>
      <c r="D1" s="47"/>
      <c r="G1" s="48" t="s">
        <v>1</v>
      </c>
      <c r="H1" s="4"/>
      <c r="I1" s="4"/>
      <c r="J1" s="4"/>
      <c r="K1" s="4"/>
      <c r="L1" s="4"/>
      <c r="M1" s="4"/>
      <c r="N1" s="4"/>
    </row>
    <row r="2" spans="1:14" ht="13.5">
      <c r="A2"/>
      <c r="B2"/>
      <c r="C2"/>
      <c r="D2" s="49"/>
      <c r="G2" s="4" t="s">
        <v>3</v>
      </c>
      <c r="H2" s="4"/>
      <c r="I2" s="4"/>
      <c r="J2" s="4"/>
      <c r="K2" s="4"/>
      <c r="L2" s="4"/>
      <c r="M2" s="4"/>
      <c r="N2" s="4"/>
    </row>
    <row r="3" spans="1:14" ht="26.25">
      <c r="A3" t="s">
        <v>42</v>
      </c>
      <c r="B3">
        <v>26</v>
      </c>
      <c r="C3" t="s">
        <v>43</v>
      </c>
      <c r="D3" s="50" t="s">
        <v>4</v>
      </c>
      <c r="E3" s="51" t="s">
        <v>5</v>
      </c>
      <c r="F3" s="51" t="s">
        <v>6</v>
      </c>
      <c r="G3" s="4" t="s">
        <v>12</v>
      </c>
      <c r="H3" s="4"/>
      <c r="I3" s="4"/>
      <c r="J3" s="4"/>
      <c r="K3" s="4"/>
      <c r="L3" s="4"/>
      <c r="M3" s="4"/>
      <c r="N3" s="4"/>
    </row>
    <row r="4" spans="1:14" ht="13.5">
      <c r="A4" t="s">
        <v>44</v>
      </c>
      <c r="B4">
        <v>100</v>
      </c>
      <c r="C4" t="s">
        <v>45</v>
      </c>
      <c r="D4" s="52"/>
      <c r="E4" s="53">
        <v>3.78</v>
      </c>
      <c r="F4" s="19">
        <f>Calibrations!G16</f>
        <v>3.9187499999999997</v>
      </c>
      <c r="G4" s="4" t="s">
        <v>13</v>
      </c>
      <c r="H4" s="4"/>
      <c r="I4" s="4"/>
      <c r="J4" s="4"/>
      <c r="K4" s="4"/>
      <c r="L4" s="4"/>
      <c r="M4" s="4"/>
      <c r="N4" s="4"/>
    </row>
    <row r="5" spans="1:14" ht="13.5">
      <c r="A5" t="s">
        <v>46</v>
      </c>
      <c r="B5">
        <v>140</v>
      </c>
      <c r="C5" t="s">
        <v>45</v>
      </c>
      <c r="D5" s="54" t="s">
        <v>47</v>
      </c>
      <c r="E5" s="55">
        <v>0</v>
      </c>
      <c r="F5" s="56" t="s">
        <v>48</v>
      </c>
      <c r="G5" s="4" t="s">
        <v>14</v>
      </c>
      <c r="H5" s="4"/>
      <c r="I5" s="4"/>
      <c r="J5" s="4"/>
      <c r="K5" s="4"/>
      <c r="L5" s="4"/>
      <c r="M5" s="4"/>
      <c r="N5" s="4"/>
    </row>
    <row r="6" spans="1:14" ht="13.5">
      <c r="A6" t="s">
        <v>49</v>
      </c>
      <c r="B6" s="1">
        <v>150</v>
      </c>
      <c r="C6" t="s">
        <v>45</v>
      </c>
      <c r="D6" s="57"/>
      <c r="E6" s="31"/>
      <c r="F6" s="31"/>
      <c r="G6" s="4" t="s">
        <v>50</v>
      </c>
      <c r="H6" s="4"/>
      <c r="I6" s="4"/>
      <c r="J6" s="4"/>
      <c r="K6" s="4"/>
      <c r="L6" s="4"/>
      <c r="M6" s="4"/>
      <c r="N6" s="4"/>
    </row>
    <row r="7" spans="1:14" s="36" customFormat="1" ht="66.75">
      <c r="A7" s="36" t="s">
        <v>18</v>
      </c>
      <c r="B7" s="36" t="s">
        <v>19</v>
      </c>
      <c r="C7" s="36" t="s">
        <v>19</v>
      </c>
      <c r="D7" s="33" t="s">
        <v>51</v>
      </c>
      <c r="E7" s="38" t="s">
        <v>21</v>
      </c>
      <c r="F7" s="38" t="s">
        <v>52</v>
      </c>
      <c r="G7" s="58" t="s">
        <v>24</v>
      </c>
      <c r="H7" s="38" t="s">
        <v>53</v>
      </c>
      <c r="I7" s="38"/>
      <c r="J7" s="59" t="s">
        <v>26</v>
      </c>
      <c r="K7" s="60" t="s">
        <v>54</v>
      </c>
      <c r="L7" s="38" t="s">
        <v>28</v>
      </c>
      <c r="M7" s="38" t="s">
        <v>28</v>
      </c>
      <c r="N7" s="36" t="s">
        <v>29</v>
      </c>
    </row>
    <row r="8" spans="1:13" s="36" customFormat="1" ht="33.75">
      <c r="A8" s="32"/>
      <c r="B8" s="37" t="s">
        <v>30</v>
      </c>
      <c r="C8" s="37" t="s">
        <v>31</v>
      </c>
      <c r="D8" s="33" t="s">
        <v>32</v>
      </c>
      <c r="E8" s="36" t="s">
        <v>33</v>
      </c>
      <c r="F8" s="36" t="s">
        <v>33</v>
      </c>
      <c r="G8" s="33" t="s">
        <v>35</v>
      </c>
      <c r="H8" s="36" t="s">
        <v>36</v>
      </c>
      <c r="J8" s="33"/>
      <c r="K8" s="61"/>
      <c r="L8" s="38" t="s">
        <v>38</v>
      </c>
      <c r="M8" s="38" t="s">
        <v>39</v>
      </c>
    </row>
    <row r="9" spans="1:13" ht="13.5">
      <c r="A9" s="62">
        <v>40651</v>
      </c>
      <c r="B9" s="40">
        <v>9</v>
      </c>
      <c r="C9" s="40">
        <v>17</v>
      </c>
      <c r="D9" s="41">
        <v>6</v>
      </c>
      <c r="E9" s="42">
        <f>D9*$F$4+$E$5</f>
        <v>23.5125</v>
      </c>
      <c r="F9" s="42"/>
      <c r="G9" s="43"/>
      <c r="H9" s="42"/>
      <c r="I9" s="42"/>
      <c r="J9" s="41">
        <v>10</v>
      </c>
      <c r="K9" s="63" t="e">
        <f>($B$6-E9)/H9</f>
        <v>#DIV/0!</v>
      </c>
      <c r="L9" s="44"/>
      <c r="M9" s="44"/>
    </row>
    <row r="10" spans="1:13" ht="13.5">
      <c r="A10" s="39">
        <v>40652</v>
      </c>
      <c r="B10" s="1">
        <v>8</v>
      </c>
      <c r="C10" s="1">
        <v>28</v>
      </c>
      <c r="D10" s="1">
        <v>12.5</v>
      </c>
      <c r="E10" s="42">
        <f>D10*$F$4+$E$5</f>
        <v>48.984375</v>
      </c>
      <c r="F10" s="42">
        <f>E10+E9</f>
        <v>72.496875</v>
      </c>
      <c r="G10" s="43">
        <v>24</v>
      </c>
      <c r="H10" s="42">
        <f>(E10-E9)/(G10/24)</f>
        <v>25.471875</v>
      </c>
      <c r="I10" s="42"/>
      <c r="J10" s="41">
        <v>10</v>
      </c>
      <c r="K10" s="63">
        <f>($B$6-E10)/H10</f>
        <v>3.965771071034229</v>
      </c>
      <c r="L10" s="42">
        <f>H10/J10</f>
        <v>2.5471875</v>
      </c>
      <c r="M10" s="42">
        <f>L10/$E$4</f>
        <v>0.6738591269841271</v>
      </c>
    </row>
    <row r="11" spans="1:13" ht="13.5">
      <c r="A11" s="62">
        <v>40653</v>
      </c>
      <c r="B11" s="40">
        <v>8</v>
      </c>
      <c r="C11" s="40">
        <v>51</v>
      </c>
      <c r="D11" s="41">
        <v>19</v>
      </c>
      <c r="E11" s="42">
        <f>D11*$F$4+$E$5</f>
        <v>74.45625</v>
      </c>
      <c r="F11" s="42">
        <f>E11+E10</f>
        <v>123.440625</v>
      </c>
      <c r="G11" s="1">
        <v>24</v>
      </c>
      <c r="H11" s="42">
        <f>(E11-E10)/(G11/24)</f>
        <v>25.471874999999997</v>
      </c>
      <c r="I11" s="42"/>
      <c r="J11" s="1">
        <v>10</v>
      </c>
      <c r="K11" s="63">
        <f>($B$6-E11)/H11</f>
        <v>2.9657710710342293</v>
      </c>
      <c r="L11" s="42">
        <f>H11/J11</f>
        <v>2.5471874999999997</v>
      </c>
      <c r="M11" s="42">
        <f>L11/$E$4</f>
        <v>0.673859126984127</v>
      </c>
    </row>
    <row r="12" spans="1:14" ht="13.5">
      <c r="A12" s="39">
        <v>40654</v>
      </c>
      <c r="B12" s="1">
        <v>7</v>
      </c>
      <c r="C12" s="1">
        <v>8</v>
      </c>
      <c r="D12" s="1">
        <v>19</v>
      </c>
      <c r="E12" s="42">
        <f>D12*$F$4+$E$5</f>
        <v>74.45625</v>
      </c>
      <c r="F12" s="42">
        <f>E12+E11</f>
        <v>148.9125</v>
      </c>
      <c r="G12" s="1">
        <v>24</v>
      </c>
      <c r="H12" s="42">
        <v>21</v>
      </c>
      <c r="I12" s="42"/>
      <c r="J12" s="1">
        <v>10</v>
      </c>
      <c r="K12" s="63">
        <v>1</v>
      </c>
      <c r="L12" s="42">
        <f>H12/J12</f>
        <v>2.1</v>
      </c>
      <c r="M12" s="42">
        <f>L12/$E$4</f>
        <v>0.5555555555555556</v>
      </c>
      <c r="N12" t="s">
        <v>55</v>
      </c>
    </row>
    <row r="13" spans="1:13" ht="13.5">
      <c r="A13" s="39">
        <v>40655</v>
      </c>
      <c r="B13" s="1">
        <v>8</v>
      </c>
      <c r="C13" s="1">
        <v>41</v>
      </c>
      <c r="D13" s="1">
        <v>19</v>
      </c>
      <c r="E13" s="42">
        <f>D13*$F$4+$E$5</f>
        <v>74.45625</v>
      </c>
      <c r="F13" s="42">
        <f>E13+E12</f>
        <v>148.9125</v>
      </c>
      <c r="G13" s="1">
        <v>24</v>
      </c>
      <c r="H13" s="42">
        <f>(E13-E12)/(G13/24)</f>
        <v>0</v>
      </c>
      <c r="I13" s="42"/>
      <c r="J13" s="1">
        <v>10</v>
      </c>
      <c r="K13" s="63" t="e">
        <f>($B$6-E13)/H13</f>
        <v>#DIV/0!</v>
      </c>
      <c r="L13" s="42">
        <f>H13/J13</f>
        <v>0</v>
      </c>
      <c r="M13" s="42">
        <f>L13/$E$4</f>
        <v>0</v>
      </c>
    </row>
    <row r="14" spans="1:13" ht="13.5">
      <c r="A14" s="39">
        <v>40656</v>
      </c>
      <c r="B14" s="1">
        <v>8</v>
      </c>
      <c r="C14" s="1">
        <v>24</v>
      </c>
      <c r="D14" s="1">
        <v>25</v>
      </c>
      <c r="E14" s="42">
        <f>D14*$F$4+$E$5</f>
        <v>97.96875</v>
      </c>
      <c r="F14" s="42">
        <f>E14+E13</f>
        <v>172.425</v>
      </c>
      <c r="G14" s="1">
        <v>24</v>
      </c>
      <c r="H14" s="42">
        <f>(E14-E13)/(G14/24)</f>
        <v>23.512500000000003</v>
      </c>
      <c r="I14" s="42"/>
      <c r="J14" s="1">
        <v>10</v>
      </c>
      <c r="K14" s="63">
        <f>($B$6-E14)/H14</f>
        <v>2.212918660287081</v>
      </c>
      <c r="L14" s="42">
        <f>H14/J14</f>
        <v>2.3512500000000003</v>
      </c>
      <c r="M14" s="42">
        <f>L14/$E$4</f>
        <v>0.6220238095238096</v>
      </c>
    </row>
    <row r="15" spans="1:13" ht="13.5">
      <c r="A15" s="39">
        <v>40661</v>
      </c>
      <c r="B15" s="1">
        <v>12</v>
      </c>
      <c r="C15" s="1">
        <v>0</v>
      </c>
      <c r="D15" s="1">
        <v>0</v>
      </c>
      <c r="E15" s="42">
        <f>D15*$F$4+$E$5</f>
        <v>0</v>
      </c>
      <c r="F15" s="42">
        <v>0</v>
      </c>
      <c r="H15" s="42"/>
      <c r="I15" s="42"/>
      <c r="J15" s="1">
        <v>8</v>
      </c>
      <c r="K15" s="63"/>
      <c r="L15" s="42">
        <f>H15/J15</f>
        <v>0</v>
      </c>
      <c r="M15" s="42">
        <f>L15/$E$4</f>
        <v>0</v>
      </c>
    </row>
    <row r="16" spans="1:13" ht="13.5">
      <c r="A16" s="39">
        <v>40662</v>
      </c>
      <c r="B16" s="1">
        <v>8</v>
      </c>
      <c r="C16" s="1">
        <v>18</v>
      </c>
      <c r="D16" s="1">
        <v>3</v>
      </c>
      <c r="E16" s="42">
        <f>D16*$F$4+$E$5</f>
        <v>11.75625</v>
      </c>
      <c r="F16" s="42">
        <f>E16+E15</f>
        <v>11.75625</v>
      </c>
      <c r="G16" s="1">
        <v>21</v>
      </c>
      <c r="H16" s="42">
        <f>(E16-E15)/(G16/21)</f>
        <v>11.75625</v>
      </c>
      <c r="I16" s="42"/>
      <c r="J16" s="1">
        <v>8</v>
      </c>
      <c r="K16" s="63">
        <f>($B$6-E16)/H16</f>
        <v>11.759170653907496</v>
      </c>
      <c r="L16" s="42">
        <f>H16/J16</f>
        <v>1.46953125</v>
      </c>
      <c r="M16" s="42">
        <f>L16/$E$4</f>
        <v>0.388764880952381</v>
      </c>
    </row>
    <row r="17" spans="1:13" ht="13.5">
      <c r="A17" s="39">
        <v>40663</v>
      </c>
      <c r="B17" s="1">
        <v>8</v>
      </c>
      <c r="C17" s="1">
        <v>19</v>
      </c>
      <c r="D17" s="1">
        <v>6</v>
      </c>
      <c r="E17" s="42">
        <f>D17*$F$4+$E$5</f>
        <v>23.5125</v>
      </c>
      <c r="F17" s="42">
        <f>E17+E16</f>
        <v>35.26875</v>
      </c>
      <c r="G17" s="1">
        <v>24</v>
      </c>
      <c r="H17" s="42">
        <f>(E17-E16)/(G17/24)</f>
        <v>11.75625</v>
      </c>
      <c r="I17" s="42"/>
      <c r="J17" s="1">
        <v>7</v>
      </c>
      <c r="K17" s="63">
        <f>($B$6-E17)/H17</f>
        <v>10.759170653907496</v>
      </c>
      <c r="L17" s="42">
        <f>H17/J17</f>
        <v>1.6794642857142856</v>
      </c>
      <c r="M17" s="42">
        <f>L17/$E$4</f>
        <v>0.4443027210884354</v>
      </c>
    </row>
    <row r="18" spans="1:14" ht="13.5">
      <c r="A18" s="39">
        <v>40664</v>
      </c>
      <c r="B18" s="1">
        <v>8</v>
      </c>
      <c r="C18" s="1">
        <v>43</v>
      </c>
      <c r="D18" s="1">
        <v>18</v>
      </c>
      <c r="E18" s="42">
        <f>D18*$F$4+$E$5</f>
        <v>70.5375</v>
      </c>
      <c r="F18" s="42">
        <f>E18-E17</f>
        <v>47.02499999999999</v>
      </c>
      <c r="G18" s="1">
        <v>24</v>
      </c>
      <c r="H18" s="42">
        <f>(F18/G18)*24</f>
        <v>47.02499999999999</v>
      </c>
      <c r="I18" s="42"/>
      <c r="J18" s="1">
        <v>7</v>
      </c>
      <c r="K18" s="63">
        <f>($B$6-E18)/H18</f>
        <v>1.6897926634768745</v>
      </c>
      <c r="L18" s="42">
        <f>H18/J18</f>
        <v>6.717857142857142</v>
      </c>
      <c r="M18" s="42">
        <f>L18/$E$4</f>
        <v>1.7772108843537413</v>
      </c>
      <c r="N18" t="s">
        <v>56</v>
      </c>
    </row>
    <row r="19" spans="1:13" ht="13.5">
      <c r="A19" s="39">
        <v>40665</v>
      </c>
      <c r="B19" s="1">
        <v>8</v>
      </c>
      <c r="C19" s="1">
        <v>44</v>
      </c>
      <c r="D19" s="1">
        <v>9</v>
      </c>
      <c r="E19" s="42">
        <f>D19*$F$4+$E$5</f>
        <v>35.26875</v>
      </c>
      <c r="F19" s="42">
        <f>E19-E18</f>
        <v>-35.26875</v>
      </c>
      <c r="G19" s="1">
        <v>24</v>
      </c>
      <c r="H19" s="42">
        <f>(F19/G19)*24</f>
        <v>-35.26875</v>
      </c>
      <c r="I19" s="42"/>
      <c r="J19" s="1">
        <v>7</v>
      </c>
      <c r="K19" s="63">
        <f>($B$6-E19)/H19</f>
        <v>-3.2530568846358325</v>
      </c>
      <c r="L19" s="42">
        <f>H19/J19</f>
        <v>-5.038392857142857</v>
      </c>
      <c r="M19" s="42">
        <f>L19/$E$4</f>
        <v>-1.3329081632653061</v>
      </c>
    </row>
    <row r="20" spans="1:13" ht="13.5">
      <c r="A20" s="39">
        <v>40665</v>
      </c>
      <c r="B20" s="1">
        <v>17</v>
      </c>
      <c r="C20" s="1">
        <v>0</v>
      </c>
      <c r="D20" s="1">
        <v>0</v>
      </c>
      <c r="E20" s="42">
        <f>D20*$F$4+$E$5</f>
        <v>0</v>
      </c>
      <c r="F20" s="42"/>
      <c r="G20" s="42"/>
      <c r="H20" s="42"/>
      <c r="I20" s="42"/>
      <c r="J20" s="42"/>
      <c r="K20" s="63"/>
      <c r="L20" s="42"/>
      <c r="M20" s="42"/>
    </row>
    <row r="21" spans="1:13" ht="13.5">
      <c r="A21" s="39">
        <v>40666</v>
      </c>
      <c r="B21" s="1">
        <v>8</v>
      </c>
      <c r="C21" s="1">
        <v>37</v>
      </c>
      <c r="D21" s="1">
        <v>9</v>
      </c>
      <c r="E21" s="42">
        <f>D21*$F$4+$E$5</f>
        <v>35.26875</v>
      </c>
      <c r="F21" s="42">
        <f>E21-E20</f>
        <v>35.26875</v>
      </c>
      <c r="G21" s="1">
        <v>15</v>
      </c>
      <c r="H21" s="42">
        <f>(F21/G21)*24</f>
        <v>56.42999999999999</v>
      </c>
      <c r="I21" s="42"/>
      <c r="J21" s="1">
        <v>7</v>
      </c>
      <c r="K21" s="63">
        <f>($B$6-E21)/H21</f>
        <v>2.0331605528973955</v>
      </c>
      <c r="L21" s="42">
        <f>H21/J21</f>
        <v>8.06142857142857</v>
      </c>
      <c r="M21" s="42">
        <f>L21/$E$4</f>
        <v>2.1326530612244894</v>
      </c>
    </row>
    <row r="22" spans="1:13" ht="13.5">
      <c r="A22" s="39">
        <v>40667</v>
      </c>
      <c r="B22" s="1">
        <v>7</v>
      </c>
      <c r="C22" s="1">
        <v>45</v>
      </c>
      <c r="D22" s="1">
        <v>20</v>
      </c>
      <c r="E22" s="42">
        <f>D22*$F$4+$E$5</f>
        <v>78.375</v>
      </c>
      <c r="F22" s="42">
        <f>E22-E21</f>
        <v>43.10625</v>
      </c>
      <c r="G22" s="1">
        <v>24</v>
      </c>
      <c r="H22" s="42">
        <f>(F22/G22)*24</f>
        <v>43.10625</v>
      </c>
      <c r="I22" s="42"/>
      <c r="J22" s="1">
        <v>7</v>
      </c>
      <c r="K22" s="63">
        <f>($B$6-E22)/H22</f>
        <v>1.6615919965202262</v>
      </c>
      <c r="L22" s="42">
        <f>H22/J22</f>
        <v>6.158035714285715</v>
      </c>
      <c r="M22" s="42">
        <f>L22/$E$4</f>
        <v>1.6291099773242632</v>
      </c>
    </row>
    <row r="23" spans="1:14" ht="13.5">
      <c r="A23" s="39">
        <v>40667</v>
      </c>
      <c r="B23" s="1">
        <v>4</v>
      </c>
      <c r="C23" s="1">
        <v>0</v>
      </c>
      <c r="D23" s="1">
        <v>3</v>
      </c>
      <c r="E23" s="42">
        <f>D23*$F$4+$E$5</f>
        <v>11.75625</v>
      </c>
      <c r="F23" s="42"/>
      <c r="H23" s="42"/>
      <c r="I23" s="42"/>
      <c r="K23" s="63"/>
      <c r="L23" s="42" t="e">
        <f>H23/J23</f>
        <v>#DIV/0!</v>
      </c>
      <c r="M23" s="42" t="e">
        <f>L23/$E$4</f>
        <v>#DIV/0!</v>
      </c>
      <c r="N23" t="s">
        <v>56</v>
      </c>
    </row>
    <row r="24" spans="1:13" ht="13.5">
      <c r="A24" s="39">
        <v>40668</v>
      </c>
      <c r="B24" s="1">
        <v>8</v>
      </c>
      <c r="C24" s="1">
        <v>12</v>
      </c>
      <c r="D24" s="1">
        <v>6</v>
      </c>
      <c r="E24" s="42">
        <f>D24*$F$4+$E$5</f>
        <v>23.5125</v>
      </c>
      <c r="F24" s="42">
        <f>E24-E23</f>
        <v>11.75625</v>
      </c>
      <c r="G24" s="1">
        <v>16</v>
      </c>
      <c r="H24" s="42">
        <f>(F24/G24)*24</f>
        <v>17.634375</v>
      </c>
      <c r="I24" s="42"/>
      <c r="J24" s="1">
        <v>8</v>
      </c>
      <c r="K24" s="63">
        <f>($B$6-E24)/H24</f>
        <v>7.172780435938331</v>
      </c>
      <c r="L24" s="42">
        <f>H24/J24</f>
        <v>2.204296875</v>
      </c>
      <c r="M24" s="42">
        <f>L24/$E$4</f>
        <v>0.5831473214285714</v>
      </c>
    </row>
    <row r="25" spans="1:13" ht="13.5">
      <c r="A25" s="39">
        <v>40669</v>
      </c>
      <c r="B25" s="1">
        <v>1</v>
      </c>
      <c r="C25" s="1">
        <v>23</v>
      </c>
      <c r="D25" s="1">
        <v>20</v>
      </c>
      <c r="E25" s="42">
        <f>D25*$F$4+$E$5</f>
        <v>78.375</v>
      </c>
      <c r="F25" s="42">
        <f>E25-E24</f>
        <v>54.8625</v>
      </c>
      <c r="G25" s="1">
        <v>29</v>
      </c>
      <c r="H25" s="42">
        <f>(F25/G25)*24</f>
        <v>45.40344827586206</v>
      </c>
      <c r="I25" s="42"/>
      <c r="J25" s="1">
        <v>8</v>
      </c>
      <c r="K25" s="63">
        <f>($B$6-E25)/H25</f>
        <v>1.5775233538391435</v>
      </c>
      <c r="L25" s="42">
        <f>H25/J25</f>
        <v>5.675431034482758</v>
      </c>
      <c r="M25" s="42">
        <f>L25/$E$4</f>
        <v>1.5014367816091951</v>
      </c>
    </row>
    <row r="26" spans="1:14" ht="13.5">
      <c r="A26" s="39">
        <v>40669</v>
      </c>
      <c r="B26" s="1">
        <v>18</v>
      </c>
      <c r="C26" s="1">
        <v>0</v>
      </c>
      <c r="D26" s="1">
        <v>0</v>
      </c>
      <c r="E26" s="42">
        <f>D26*$F$4+$E$5</f>
        <v>0</v>
      </c>
      <c r="F26" s="42"/>
      <c r="H26" s="42"/>
      <c r="I26" s="42"/>
      <c r="K26" s="63"/>
      <c r="L26" s="42"/>
      <c r="M26" s="42"/>
      <c r="N26" t="s">
        <v>57</v>
      </c>
    </row>
    <row r="27" spans="1:13" ht="13.5">
      <c r="A27" s="39">
        <v>40670</v>
      </c>
      <c r="B27" s="1">
        <v>8</v>
      </c>
      <c r="C27" s="1">
        <v>15</v>
      </c>
      <c r="D27" s="1">
        <v>5</v>
      </c>
      <c r="E27" s="42">
        <f>D27*$F$4+$E$5</f>
        <v>19.59375</v>
      </c>
      <c r="F27" s="42">
        <f>E27-E26</f>
        <v>19.59375</v>
      </c>
      <c r="G27" s="1">
        <v>9</v>
      </c>
      <c r="H27" s="42">
        <f>(F27/G27)*24</f>
        <v>52.25</v>
      </c>
      <c r="I27" s="42"/>
      <c r="J27" s="1">
        <v>8</v>
      </c>
      <c r="K27" s="63">
        <f>($B$6-E27)/H27</f>
        <v>2.4958133971291865</v>
      </c>
      <c r="L27" s="42">
        <f>H27/J27</f>
        <v>6.53125</v>
      </c>
      <c r="M27" s="42">
        <f>L27/$E$4</f>
        <v>1.7278439153439153</v>
      </c>
    </row>
    <row r="28" spans="1:13" ht="13.5">
      <c r="A28" s="39">
        <v>40671</v>
      </c>
      <c r="B28" s="1">
        <v>8</v>
      </c>
      <c r="C28" s="1">
        <v>36</v>
      </c>
      <c r="D28" s="1">
        <v>15</v>
      </c>
      <c r="E28" s="42">
        <f>D28*$F$4+$E$5</f>
        <v>58.78124999999999</v>
      </c>
      <c r="F28" s="42">
        <f>E28-E27</f>
        <v>39.18749999999999</v>
      </c>
      <c r="G28" s="1">
        <v>24</v>
      </c>
      <c r="H28" s="42">
        <f>(F28/G28)*24</f>
        <v>39.18749999999999</v>
      </c>
      <c r="I28" s="42"/>
      <c r="J28" s="1">
        <v>7</v>
      </c>
      <c r="K28" s="63">
        <f>($B$6-E28)/H28</f>
        <v>2.3277511961722492</v>
      </c>
      <c r="L28" s="42">
        <f>H28/J28</f>
        <v>5.598214285714285</v>
      </c>
      <c r="M28" s="42">
        <f>L28/$E$4</f>
        <v>1.4810090702947845</v>
      </c>
    </row>
    <row r="29" spans="1:14" ht="13.5">
      <c r="A29" s="39">
        <v>40672</v>
      </c>
      <c r="B29" s="1">
        <v>8</v>
      </c>
      <c r="C29" s="1">
        <v>20</v>
      </c>
      <c r="D29" s="1">
        <v>21</v>
      </c>
      <c r="E29" s="42">
        <f>D29*$F$4+$E$5</f>
        <v>82.29374999999999</v>
      </c>
      <c r="F29" s="42">
        <f>E29-E28</f>
        <v>23.512499999999996</v>
      </c>
      <c r="G29" s="1">
        <v>24</v>
      </c>
      <c r="H29" s="42">
        <f>(F29/G29)*24</f>
        <v>23.512499999999996</v>
      </c>
      <c r="I29" s="42"/>
      <c r="J29" s="1">
        <v>7</v>
      </c>
      <c r="K29" s="63">
        <f>($B$6-E29)/H29</f>
        <v>2.879585326953749</v>
      </c>
      <c r="L29" s="42">
        <f>H29/J29</f>
        <v>3.358928571428571</v>
      </c>
      <c r="M29" s="42">
        <f>L29/$E$4</f>
        <v>0.8886054421768707</v>
      </c>
      <c r="N29" t="s">
        <v>58</v>
      </c>
    </row>
    <row r="30" spans="1:13" ht="13.5">
      <c r="A30" s="39">
        <v>40673</v>
      </c>
      <c r="B30" s="1">
        <v>8</v>
      </c>
      <c r="C30" s="1">
        <v>40</v>
      </c>
      <c r="D30" s="1">
        <v>38</v>
      </c>
      <c r="E30" s="42">
        <f>D30*$F$4+$E$5</f>
        <v>148.9125</v>
      </c>
      <c r="F30" s="42">
        <f>E30-E29</f>
        <v>66.61875</v>
      </c>
      <c r="G30" s="1">
        <v>24</v>
      </c>
      <c r="H30" s="42">
        <f>(F30/G30)*24</f>
        <v>66.61875</v>
      </c>
      <c r="I30" s="42"/>
      <c r="J30" s="1">
        <v>8</v>
      </c>
      <c r="K30" s="63">
        <f>($B$6-E30)/H30</f>
        <v>0.01632423304249938</v>
      </c>
      <c r="L30" s="42">
        <f>H30/J30</f>
        <v>8.32734375</v>
      </c>
      <c r="M30" s="42">
        <f>L30/$E$4</f>
        <v>2.2030009920634925</v>
      </c>
    </row>
    <row r="31" spans="1:13" ht="13.5">
      <c r="A31" s="39"/>
      <c r="E31" s="42">
        <f>D31*$F$4+$E$5</f>
        <v>0</v>
      </c>
      <c r="H31" s="42"/>
      <c r="I31" s="42"/>
      <c r="L31" s="42"/>
      <c r="M31" s="42"/>
    </row>
    <row r="32" spans="1:13" ht="13.5">
      <c r="A32" s="39"/>
      <c r="E32" s="42">
        <f>D32*$F$4+$E$5</f>
        <v>0</v>
      </c>
      <c r="F32" s="44">
        <f>E32-E31</f>
        <v>0</v>
      </c>
      <c r="H32" s="42" t="e">
        <f>(F32/G32)*24</f>
        <v>#DIV/0!</v>
      </c>
      <c r="I32" s="42"/>
      <c r="L32" s="42" t="e">
        <f>H32/J32</f>
        <v>#DIV/0!</v>
      </c>
      <c r="M32" s="42" t="e">
        <f>L32/$E$4</f>
        <v>#DIV/0!</v>
      </c>
    </row>
    <row r="33" spans="1:13" ht="13.5">
      <c r="A33" s="39"/>
      <c r="E33" s="42">
        <f>D33*$F$4+$E$5</f>
        <v>0</v>
      </c>
      <c r="F33" s="44">
        <f>E33-E32</f>
        <v>0</v>
      </c>
      <c r="H33" s="42" t="e">
        <f>(F33/G33)*24</f>
        <v>#DIV/0!</v>
      </c>
      <c r="I33" s="42"/>
      <c r="L33" s="42" t="e">
        <f>H33/J33</f>
        <v>#DIV/0!</v>
      </c>
      <c r="M33" s="42" t="e">
        <f>L33/$E$4</f>
        <v>#DIV/0!</v>
      </c>
    </row>
    <row r="34" spans="1:13" ht="13.5">
      <c r="A34" s="39"/>
      <c r="E34" s="42">
        <f>D34*$F$4+$E$5</f>
        <v>0</v>
      </c>
      <c r="F34" s="44">
        <f>E34-E33</f>
        <v>0</v>
      </c>
      <c r="H34" s="42" t="e">
        <f>(F34/G34)*24</f>
        <v>#DIV/0!</v>
      </c>
      <c r="I34" s="42"/>
      <c r="L34" s="42" t="e">
        <f>H34/J34</f>
        <v>#DIV/0!</v>
      </c>
      <c r="M34" s="42" t="e">
        <f>L34/$E$4</f>
        <v>#DIV/0!</v>
      </c>
    </row>
    <row r="35" spans="1:13" ht="13.5">
      <c r="A35" s="39"/>
      <c r="E35" s="42">
        <f>D35*$F$4+$E$5</f>
        <v>0</v>
      </c>
      <c r="F35" s="44"/>
      <c r="H35" s="42"/>
      <c r="I35" s="42"/>
      <c r="L35" s="42"/>
      <c r="M35" s="42"/>
    </row>
    <row r="36" spans="1:13" ht="13.5">
      <c r="A36" s="39"/>
      <c r="E36" s="42">
        <f>D36*$F$4+$E$5</f>
        <v>0</v>
      </c>
      <c r="F36" s="44">
        <f>E36-E35</f>
        <v>0</v>
      </c>
      <c r="H36" s="42" t="e">
        <f>(F36/G36)*24</f>
        <v>#DIV/0!</v>
      </c>
      <c r="I36" s="42"/>
      <c r="L36" s="42" t="e">
        <f>H36/J36</f>
        <v>#DIV/0!</v>
      </c>
      <c r="M36" s="42" t="e">
        <f>L36/$E$4</f>
        <v>#DIV/0!</v>
      </c>
    </row>
    <row r="37" spans="1:13" ht="13.5">
      <c r="A37" s="39"/>
      <c r="E37" s="42">
        <f>D37*$F$4+$E$5</f>
        <v>0</v>
      </c>
      <c r="F37" s="44">
        <f>E37-E36</f>
        <v>0</v>
      </c>
      <c r="H37" s="42" t="e">
        <f>(F37/G37)*24</f>
        <v>#DIV/0!</v>
      </c>
      <c r="I37" s="42"/>
      <c r="L37" s="42" t="e">
        <f>H37/J37</f>
        <v>#DIV/0!</v>
      </c>
      <c r="M37" s="42" t="e">
        <f>L37/$E$4</f>
        <v>#DIV/0!</v>
      </c>
    </row>
    <row r="38" spans="1:13" ht="13.5">
      <c r="A38" s="39"/>
      <c r="E38" s="42">
        <f>D38*$F$4+$E$5</f>
        <v>0</v>
      </c>
      <c r="F38" s="44">
        <f>E38-E37</f>
        <v>0</v>
      </c>
      <c r="H38" s="42" t="e">
        <f>(F38/G38)*24</f>
        <v>#DIV/0!</v>
      </c>
      <c r="I38" s="42"/>
      <c r="L38" s="42" t="e">
        <f>H38/J38</f>
        <v>#DIV/0!</v>
      </c>
      <c r="M38" s="42" t="e">
        <f>L38/$E$4</f>
        <v>#DIV/0!</v>
      </c>
    </row>
    <row r="39" spans="1:13" ht="13.5">
      <c r="A39" s="39"/>
      <c r="E39" s="42">
        <f>D39*$F$4+$E$5</f>
        <v>0</v>
      </c>
      <c r="F39" s="44">
        <f>E39-E38</f>
        <v>0</v>
      </c>
      <c r="H39" s="42" t="e">
        <f>(F39/G39)*24</f>
        <v>#DIV/0!</v>
      </c>
      <c r="I39" s="42"/>
      <c r="L39" s="42" t="e">
        <f>H39/J39</f>
        <v>#DIV/0!</v>
      </c>
      <c r="M39" s="42" t="e">
        <f>L39/$E$4</f>
        <v>#DIV/0!</v>
      </c>
    </row>
    <row r="40" spans="1:13" ht="13.5">
      <c r="A40" s="39"/>
      <c r="E40" s="42">
        <f>D40*$F$4+$E$5</f>
        <v>0</v>
      </c>
      <c r="F40" s="44">
        <f>E40-E39</f>
        <v>0</v>
      </c>
      <c r="H40" s="42" t="e">
        <f>(F40/G40)*24</f>
        <v>#DIV/0!</v>
      </c>
      <c r="I40" s="42"/>
      <c r="L40" s="42" t="e">
        <f>H40/J40</f>
        <v>#DIV/0!</v>
      </c>
      <c r="M40" s="42" t="e">
        <f>L40/$E$4</f>
        <v>#DIV/0!</v>
      </c>
    </row>
    <row r="41" spans="1:13" ht="13.5">
      <c r="A41" s="39"/>
      <c r="E41" s="42">
        <f>D41*$F$4+$E$5</f>
        <v>0</v>
      </c>
      <c r="F41" s="44"/>
      <c r="H41" s="42"/>
      <c r="I41" s="42"/>
      <c r="L41" s="42"/>
      <c r="M41" s="42"/>
    </row>
    <row r="42" spans="1:13" ht="13.5">
      <c r="A42" s="39"/>
      <c r="E42" s="42">
        <f>D42*$F$4+$E$5</f>
        <v>0</v>
      </c>
      <c r="F42" s="44">
        <f>E42-E41</f>
        <v>0</v>
      </c>
      <c r="H42" s="42" t="e">
        <f>(F42/G42)*24</f>
        <v>#DIV/0!</v>
      </c>
      <c r="I42" s="42"/>
      <c r="L42" s="42" t="e">
        <f>H42/J42</f>
        <v>#DIV/0!</v>
      </c>
      <c r="M42" s="42" t="e">
        <f>L42/$E$4</f>
        <v>#DIV/0!</v>
      </c>
    </row>
    <row r="43" spans="1:13" ht="13.5">
      <c r="A43" s="39"/>
      <c r="E43" s="42">
        <f>D43*$F$4+$E$5</f>
        <v>0</v>
      </c>
      <c r="F43" s="44">
        <f>E43-E42</f>
        <v>0</v>
      </c>
      <c r="H43" s="42" t="e">
        <f>(F43/G43)*24</f>
        <v>#DIV/0!</v>
      </c>
      <c r="I43" s="42"/>
      <c r="L43" s="42" t="e">
        <f>H43/J43</f>
        <v>#DIV/0!</v>
      </c>
      <c r="M43" s="42" t="e">
        <f>L43/$E$4</f>
        <v>#DIV/0!</v>
      </c>
    </row>
    <row r="44" spans="1:13" ht="13.5">
      <c r="A44" s="39"/>
      <c r="E44" s="42">
        <f>D44*$F$4+$E$5</f>
        <v>0</v>
      </c>
      <c r="F44" s="44">
        <f>E44-E43</f>
        <v>0</v>
      </c>
      <c r="H44" s="42" t="e">
        <f>(F44/G44)*24</f>
        <v>#DIV/0!</v>
      </c>
      <c r="I44" s="42"/>
      <c r="L44" s="42" t="e">
        <f>H44/J44</f>
        <v>#DIV/0!</v>
      </c>
      <c r="M44" s="42" t="e">
        <f>L44/$E$4</f>
        <v>#DIV/0!</v>
      </c>
    </row>
    <row r="45" spans="1:12" ht="13.5">
      <c r="A45" s="39"/>
      <c r="E45" s="42">
        <f>D45*$F$4+$E$5</f>
        <v>0</v>
      </c>
      <c r="L45" s="42"/>
    </row>
    <row r="46" spans="1:13" ht="13.5">
      <c r="A46" s="39"/>
      <c r="E46" s="42">
        <f>D46*$F$4+$E$5</f>
        <v>0</v>
      </c>
      <c r="F46" s="44">
        <f>E46-E45</f>
        <v>0</v>
      </c>
      <c r="H46" s="42" t="e">
        <f>(F46/G46)*24</f>
        <v>#DIV/0!</v>
      </c>
      <c r="I46" s="42"/>
      <c r="L46" s="42" t="e">
        <f>H46/J46</f>
        <v>#DIV/0!</v>
      </c>
      <c r="M46" s="42" t="e">
        <f>L46/$E$4</f>
        <v>#DIV/0!</v>
      </c>
    </row>
    <row r="47" spans="1:13" ht="13.5">
      <c r="A47" s="39"/>
      <c r="E47" s="42">
        <f>D47*$F$4+$E$5</f>
        <v>0</v>
      </c>
      <c r="F47" s="44">
        <f>E47-E46</f>
        <v>0</v>
      </c>
      <c r="H47" s="42" t="e">
        <f>(F47/G47)*24</f>
        <v>#DIV/0!</v>
      </c>
      <c r="I47" s="42"/>
      <c r="L47" s="42" t="e">
        <f>H47/J47</f>
        <v>#DIV/0!</v>
      </c>
      <c r="M47" s="42" t="e">
        <f>L47/$E$4</f>
        <v>#DIV/0!</v>
      </c>
    </row>
    <row r="48" spans="1:13" ht="13.5">
      <c r="A48" s="39"/>
      <c r="E48" s="42">
        <f>D48*$F$4+$E$5</f>
        <v>0</v>
      </c>
      <c r="F48" s="44"/>
      <c r="H48" s="42"/>
      <c r="I48" s="42"/>
      <c r="L48" s="42"/>
      <c r="M48" s="42"/>
    </row>
    <row r="49" spans="1:13" ht="13.5">
      <c r="A49" s="39"/>
      <c r="E49" s="42">
        <f>D49*$F$4+$E$5</f>
        <v>0</v>
      </c>
      <c r="F49" s="44">
        <f>E49-E48</f>
        <v>0</v>
      </c>
      <c r="H49" s="42" t="e">
        <f>(F49/G49)*24</f>
        <v>#DIV/0!</v>
      </c>
      <c r="I49" s="42"/>
      <c r="L49" s="42" t="e">
        <f>H49/J49</f>
        <v>#DIV/0!</v>
      </c>
      <c r="M49" s="42" t="e">
        <f>L49/$E$4</f>
        <v>#DIV/0!</v>
      </c>
    </row>
    <row r="50" spans="1:13" ht="13.5">
      <c r="A50" s="39"/>
      <c r="E50" s="42">
        <f>D50*$F$4+$E$5</f>
        <v>0</v>
      </c>
      <c r="F50" s="44">
        <f>E50-E49</f>
        <v>0</v>
      </c>
      <c r="H50" s="42" t="e">
        <f>(F50/G50)*24</f>
        <v>#DIV/0!</v>
      </c>
      <c r="I50" s="42"/>
      <c r="L50" s="42" t="e">
        <f>H50/J50</f>
        <v>#DIV/0!</v>
      </c>
      <c r="M50" s="42" t="e">
        <f>L50/$E$4</f>
        <v>#DIV/0!</v>
      </c>
    </row>
    <row r="51" spans="1:13" ht="13.5">
      <c r="A51" s="39"/>
      <c r="E51" s="42">
        <f>D51*$F$4+$E$5</f>
        <v>0</v>
      </c>
      <c r="F51" s="44">
        <f>E51-E50</f>
        <v>0</v>
      </c>
      <c r="H51" s="42" t="e">
        <f>(F51/G51)*24</f>
        <v>#DIV/0!</v>
      </c>
      <c r="I51" s="42"/>
      <c r="L51" s="42" t="e">
        <f>H51/J51</f>
        <v>#DIV/0!</v>
      </c>
      <c r="M51" s="42" t="e">
        <f>L51/$E$4</f>
        <v>#DIV/0!</v>
      </c>
    </row>
    <row r="52" spans="1:5" ht="13.5">
      <c r="A52" s="39"/>
      <c r="E52" s="42">
        <f>D52*$F$4+$E$5</f>
        <v>0</v>
      </c>
    </row>
    <row r="53" spans="1:13" ht="13.5">
      <c r="A53" s="39"/>
      <c r="E53" s="42">
        <f>D53*$F$4+$E$5</f>
        <v>0</v>
      </c>
      <c r="F53" s="44">
        <f>E53-E52</f>
        <v>0</v>
      </c>
      <c r="H53" s="42" t="e">
        <f>(F53/G53)*24</f>
        <v>#DIV/0!</v>
      </c>
      <c r="I53" s="42"/>
      <c r="L53" s="42" t="e">
        <f>H53/J53</f>
        <v>#DIV/0!</v>
      </c>
      <c r="M53" s="42" t="e">
        <f>L53/$E$4</f>
        <v>#DIV/0!</v>
      </c>
    </row>
    <row r="54" spans="1:13" ht="13.5">
      <c r="A54" s="39"/>
      <c r="E54" s="42">
        <f>D54*$F$4+$E$5</f>
        <v>0</v>
      </c>
      <c r="F54" s="44">
        <f>E54-E53</f>
        <v>0</v>
      </c>
      <c r="H54" s="42" t="e">
        <f>(F54/G54)*24</f>
        <v>#DIV/0!</v>
      </c>
      <c r="I54" s="42"/>
      <c r="L54" s="42" t="e">
        <f>H54/J54</f>
        <v>#DIV/0!</v>
      </c>
      <c r="M54" s="42" t="e">
        <f>L54/$E$4</f>
        <v>#DIV/0!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zoomScaleSheetLayoutView="110" workbookViewId="0" topLeftCell="B1">
      <pane ySplit="10" topLeftCell="A23" activePane="bottomLeft" state="frozen"/>
      <selection pane="topLeft" activeCell="B1" sqref="B1"/>
      <selection pane="bottomLeft" activeCell="G31" sqref="G31"/>
    </sheetView>
  </sheetViews>
  <sheetFormatPr defaultColWidth="9.140625" defaultRowHeight="15"/>
  <cols>
    <col min="1" max="1" width="10.7109375" style="64" customWidth="1"/>
    <col min="2" max="2" width="11.7109375" style="64" customWidth="1"/>
    <col min="3" max="4" width="8.7109375" style="1" customWidth="1"/>
    <col min="5" max="5" width="13.00390625" style="1" customWidth="1"/>
    <col min="6" max="6" width="11.00390625" style="0" customWidth="1"/>
    <col min="7" max="7" width="13.7109375" style="0" customWidth="1"/>
    <col min="8" max="8" width="17.8515625" style="0" customWidth="1"/>
    <col min="9" max="9" width="8.421875" style="0" customWidth="1"/>
    <col min="10" max="10" width="17.00390625" style="0" customWidth="1"/>
    <col min="11" max="11" width="11.28125" style="0" customWidth="1"/>
    <col min="12" max="12" width="11.28125" style="1" customWidth="1"/>
    <col min="13" max="13" width="12.28125" style="1" customWidth="1"/>
    <col min="14" max="14" width="13.00390625" style="0" customWidth="1"/>
    <col min="15" max="15" width="34.7109375" style="0" customWidth="1"/>
    <col min="16" max="16384" width="8.7109375" style="0" customWidth="1"/>
  </cols>
  <sheetData>
    <row r="1" spans="1:13" ht="13.5">
      <c r="A1" s="65" t="s">
        <v>59</v>
      </c>
      <c r="C1"/>
      <c r="D1"/>
      <c r="E1"/>
      <c r="J1" t="s">
        <v>60</v>
      </c>
      <c r="L1"/>
      <c r="M1"/>
    </row>
    <row r="2" spans="1:13" ht="13.5">
      <c r="A2" s="65"/>
      <c r="C2"/>
      <c r="D2"/>
      <c r="E2"/>
      <c r="F2" s="66" t="s">
        <v>61</v>
      </c>
      <c r="G2">
        <v>330</v>
      </c>
      <c r="H2" t="s">
        <v>48</v>
      </c>
      <c r="J2" s="44">
        <f>(87.3/1.1)*6</f>
        <v>476.18181818181813</v>
      </c>
      <c r="L2"/>
      <c r="M2"/>
    </row>
    <row r="3" spans="1:13" ht="13.5">
      <c r="A3" s="65" t="s">
        <v>62</v>
      </c>
      <c r="C3"/>
      <c r="D3"/>
      <c r="E3"/>
      <c r="G3" s="1">
        <f>G2/3.78</f>
        <v>87.30158730158729</v>
      </c>
      <c r="H3" t="s">
        <v>63</v>
      </c>
      <c r="L3"/>
      <c r="M3"/>
    </row>
    <row r="4" spans="1:13" ht="13.5">
      <c r="A4" s="67" t="s">
        <v>64</v>
      </c>
      <c r="B4" s="68">
        <v>48</v>
      </c>
      <c r="C4" t="s">
        <v>65</v>
      </c>
      <c r="D4"/>
      <c r="E4"/>
      <c r="G4">
        <v>92</v>
      </c>
      <c r="H4" s="44">
        <f>G4*0.7171</f>
        <v>65.9732</v>
      </c>
      <c r="I4" s="44"/>
      <c r="L4"/>
      <c r="M4"/>
    </row>
    <row r="5" spans="1:13" ht="13.5">
      <c r="A5" s="67" t="s">
        <v>66</v>
      </c>
      <c r="B5" s="68">
        <v>1.1</v>
      </c>
      <c r="C5" t="s">
        <v>67</v>
      </c>
      <c r="D5"/>
      <c r="E5"/>
      <c r="F5" t="s">
        <v>68</v>
      </c>
      <c r="G5">
        <v>6</v>
      </c>
      <c r="H5" t="s">
        <v>69</v>
      </c>
      <c r="L5"/>
      <c r="M5"/>
    </row>
    <row r="6" spans="1:13" ht="13.5">
      <c r="A6" s="65"/>
      <c r="C6"/>
      <c r="D6"/>
      <c r="E6"/>
      <c r="L6"/>
      <c r="M6"/>
    </row>
    <row r="7" spans="1:13" ht="13.5">
      <c r="A7" s="65"/>
      <c r="C7"/>
      <c r="D7"/>
      <c r="E7" t="s">
        <v>40</v>
      </c>
      <c r="L7"/>
      <c r="M7"/>
    </row>
    <row r="8" spans="1:13" ht="13.5">
      <c r="A8" s="69"/>
      <c r="C8" s="29"/>
      <c r="D8" s="29"/>
      <c r="E8"/>
      <c r="L8"/>
      <c r="M8" s="46" t="s">
        <v>70</v>
      </c>
    </row>
    <row r="9" spans="1:15" s="46" customFormat="1" ht="50.25">
      <c r="A9" s="65" t="s">
        <v>18</v>
      </c>
      <c r="B9" s="65" t="s">
        <v>19</v>
      </c>
      <c r="C9" s="70" t="s">
        <v>71</v>
      </c>
      <c r="D9" s="70"/>
      <c r="E9" s="32" t="s">
        <v>72</v>
      </c>
      <c r="F9" s="71" t="s">
        <v>73</v>
      </c>
      <c r="G9" s="46" t="s">
        <v>74</v>
      </c>
      <c r="H9" s="46" t="s">
        <v>75</v>
      </c>
      <c r="I9" s="49" t="s">
        <v>76</v>
      </c>
      <c r="J9" s="46" t="s">
        <v>75</v>
      </c>
      <c r="K9" s="49" t="s">
        <v>77</v>
      </c>
      <c r="L9" s="32" t="s">
        <v>78</v>
      </c>
      <c r="M9" s="72" t="s">
        <v>79</v>
      </c>
      <c r="N9"/>
      <c r="O9" s="46" t="s">
        <v>29</v>
      </c>
    </row>
    <row r="10" spans="1:14" s="46" customFormat="1" ht="13.5">
      <c r="A10" s="65"/>
      <c r="B10" s="65"/>
      <c r="C10" s="73" t="s">
        <v>80</v>
      </c>
      <c r="D10" s="73" t="s">
        <v>31</v>
      </c>
      <c r="E10" s="73" t="s">
        <v>81</v>
      </c>
      <c r="F10" s="74" t="s">
        <v>82</v>
      </c>
      <c r="G10" s="74" t="s">
        <v>82</v>
      </c>
      <c r="H10" s="74" t="s">
        <v>82</v>
      </c>
      <c r="I10" s="74" t="s">
        <v>82</v>
      </c>
      <c r="J10" s="74" t="s">
        <v>83</v>
      </c>
      <c r="K10" s="74" t="s">
        <v>84</v>
      </c>
      <c r="L10" s="73" t="s">
        <v>85</v>
      </c>
      <c r="M10" s="32" t="s">
        <v>85</v>
      </c>
      <c r="N10"/>
    </row>
    <row r="11" spans="1:13" ht="23.25" customHeight="1">
      <c r="A11" s="75">
        <v>40651</v>
      </c>
      <c r="B11" s="76">
        <v>0.4131944444444444</v>
      </c>
      <c r="C11" s="1">
        <v>776</v>
      </c>
      <c r="D11" s="1">
        <v>17</v>
      </c>
      <c r="E11" s="1">
        <v>47808.4</v>
      </c>
      <c r="F11" s="44"/>
      <c r="G11" s="44">
        <v>24</v>
      </c>
      <c r="H11" s="31"/>
      <c r="I11" s="31"/>
      <c r="J11" s="31"/>
      <c r="K11" s="31"/>
      <c r="L11" s="1">
        <v>0</v>
      </c>
      <c r="M11" s="1">
        <v>54595.7</v>
      </c>
    </row>
    <row r="12" spans="1:13" ht="23.25" customHeight="1">
      <c r="A12" s="75">
        <v>40652</v>
      </c>
      <c r="B12" s="76">
        <v>0.3527777777777778</v>
      </c>
      <c r="C12" s="1">
        <v>781</v>
      </c>
      <c r="D12" s="1">
        <v>43</v>
      </c>
      <c r="E12" s="1">
        <v>47944.4</v>
      </c>
      <c r="F12" s="44">
        <f>((C12+(D12/60))-(C11+(D11/60)))*1.1</f>
        <v>5.976666666666734</v>
      </c>
      <c r="G12" s="44">
        <f>F12+G11</f>
        <v>29.976666666666734</v>
      </c>
      <c r="H12" s="31">
        <f>($G$3-G12)+I12</f>
        <v>57.32492063492056</v>
      </c>
      <c r="I12" s="31"/>
      <c r="J12" s="31">
        <f>(H12/$G$3)*100</f>
        <v>65.66309090909083</v>
      </c>
      <c r="K12" s="31">
        <f>(H12/$B$5)*$G$5</f>
        <v>312.68138528138485</v>
      </c>
      <c r="L12" s="1">
        <v>140.1</v>
      </c>
      <c r="M12" s="1">
        <v>54735.8</v>
      </c>
    </row>
    <row r="13" spans="1:13" ht="13.5">
      <c r="A13" s="75">
        <v>40653</v>
      </c>
      <c r="B13" s="76">
        <v>0.36875</v>
      </c>
      <c r="C13" s="1">
        <v>787</v>
      </c>
      <c r="D13" s="1">
        <v>43</v>
      </c>
      <c r="E13" s="1">
        <v>48069.7</v>
      </c>
      <c r="F13" s="44">
        <f>((C13+(D13/60))-(C12+(D12/60)))*1.1</f>
        <v>6.6000000000000005</v>
      </c>
      <c r="G13" s="44">
        <f>F13+G12</f>
        <v>36.57666666666673</v>
      </c>
      <c r="H13" s="31">
        <f>H12-F13+I13</f>
        <v>50.72492063492056</v>
      </c>
      <c r="I13" s="31"/>
      <c r="J13" s="31">
        <f>(H13/$G$3)*100</f>
        <v>58.103090909090824</v>
      </c>
      <c r="K13" s="31">
        <f>(H13/$B$5)*$G$5</f>
        <v>276.68138528138485</v>
      </c>
      <c r="L13" s="1">
        <v>291.7</v>
      </c>
      <c r="M13" s="1">
        <v>54887.4</v>
      </c>
    </row>
    <row r="14" spans="1:13" ht="13.5">
      <c r="A14" s="75">
        <v>40654</v>
      </c>
      <c r="B14" s="76">
        <v>0.35347222222222224</v>
      </c>
      <c r="C14" s="1">
        <v>798</v>
      </c>
      <c r="D14" s="1">
        <v>44</v>
      </c>
      <c r="E14" s="1">
        <v>55115.6</v>
      </c>
      <c r="F14" s="44">
        <f>((C14+(D14/60))-(C13+(D13/60)))*1.1</f>
        <v>12.118333333333318</v>
      </c>
      <c r="G14" s="44">
        <f>F14+G13</f>
        <v>48.69500000000005</v>
      </c>
      <c r="H14" s="31">
        <f>H13-F14+I14</f>
        <v>38.60658730158724</v>
      </c>
      <c r="I14" s="31"/>
      <c r="J14" s="31">
        <f>(H14/$G$3)*100</f>
        <v>44.222090909090845</v>
      </c>
      <c r="K14" s="31">
        <f>(H14/$B$5)*$G$5</f>
        <v>210.58138528138494</v>
      </c>
      <c r="L14" s="1">
        <v>519.9</v>
      </c>
      <c r="M14" s="1">
        <v>48184.7</v>
      </c>
    </row>
    <row r="15" spans="1:13" ht="13.5">
      <c r="A15" s="75">
        <v>40655</v>
      </c>
      <c r="B15" s="76">
        <v>0.36180555555555555</v>
      </c>
      <c r="C15" s="1">
        <v>802</v>
      </c>
      <c r="D15" s="1">
        <v>37</v>
      </c>
      <c r="E15" s="1">
        <v>55352.6</v>
      </c>
      <c r="F15" s="44">
        <f>((C15+(D15/60))-(C14+(D14/60)))*1.1</f>
        <v>4.2716666666666585</v>
      </c>
      <c r="G15" s="44">
        <f>F15+G14</f>
        <v>52.96666666666671</v>
      </c>
      <c r="H15" s="31">
        <f>H14-F15+I15</f>
        <v>34.33492063492058</v>
      </c>
      <c r="I15" s="31"/>
      <c r="J15" s="31">
        <f>(H15/$G$3)*100</f>
        <v>39.32909090909085</v>
      </c>
      <c r="K15" s="31">
        <f>(H15/$B$5)*$G$5</f>
        <v>187.28138528138496</v>
      </c>
      <c r="L15" s="1">
        <v>756.9</v>
      </c>
      <c r="M15" s="1">
        <v>48215.8</v>
      </c>
    </row>
    <row r="16" spans="1:13" ht="13.5">
      <c r="A16" s="75">
        <v>40656</v>
      </c>
      <c r="B16" s="76">
        <v>0.35</v>
      </c>
      <c r="C16" s="1">
        <v>808</v>
      </c>
      <c r="D16" s="1">
        <v>25</v>
      </c>
      <c r="E16" s="1">
        <v>55547.5</v>
      </c>
      <c r="F16" s="44">
        <f>((C16+(D16/60))-(C15+(D15/60)))*1.1</f>
        <v>6.37999999999995</v>
      </c>
      <c r="G16" s="44">
        <f>F16+G15</f>
        <v>59.346666666666664</v>
      </c>
      <c r="H16" s="31">
        <f>H15-F16+I16</f>
        <v>27.95492063492063</v>
      </c>
      <c r="I16" s="31"/>
      <c r="J16" s="31">
        <f>(H16/$G$3)*100</f>
        <v>32.0210909090909</v>
      </c>
      <c r="K16" s="31">
        <f>(H16/$B$5)*$G$5</f>
        <v>152.48138528138526</v>
      </c>
      <c r="L16" s="1">
        <v>951.8</v>
      </c>
      <c r="M16" s="1">
        <v>48450.8</v>
      </c>
    </row>
    <row r="17" spans="1:13" ht="13.5">
      <c r="A17" s="75">
        <v>40657</v>
      </c>
      <c r="B17" s="76">
        <v>0.3472222222222222</v>
      </c>
      <c r="C17" s="1">
        <v>812</v>
      </c>
      <c r="D17" s="1">
        <v>58</v>
      </c>
      <c r="E17" s="1">
        <v>55681</v>
      </c>
      <c r="F17" s="44">
        <f>((C17+(D17/60))-(C16+(D16/60)))*1.1</f>
        <v>5.005000000000075</v>
      </c>
      <c r="G17" s="44">
        <f>F17+G16</f>
        <v>64.35166666666674</v>
      </c>
      <c r="H17" s="31">
        <f>H16-F17+I17</f>
        <v>22.949920634920552</v>
      </c>
      <c r="I17" s="31"/>
      <c r="J17" s="31">
        <f>(H17/$G$3)*100</f>
        <v>26.288090909090815</v>
      </c>
      <c r="K17" s="31">
        <f>(H17/$B$5)*$G$5</f>
        <v>125.18138528138482</v>
      </c>
      <c r="L17" s="1">
        <v>1085.3</v>
      </c>
      <c r="M17" s="1">
        <v>48581.4</v>
      </c>
    </row>
    <row r="18" spans="1:11" ht="13.5">
      <c r="A18" s="75">
        <v>40661</v>
      </c>
      <c r="B18" s="76">
        <v>0.6666666666666666</v>
      </c>
      <c r="C18" s="1">
        <v>821</v>
      </c>
      <c r="F18" s="44"/>
      <c r="G18" s="44"/>
      <c r="H18" s="31"/>
      <c r="I18" s="31"/>
      <c r="J18" s="31"/>
      <c r="K18" s="31"/>
    </row>
    <row r="19" spans="1:13" ht="13.5">
      <c r="A19" s="75">
        <v>40662</v>
      </c>
      <c r="B19" s="76">
        <v>0.3527777777777778</v>
      </c>
      <c r="C19" s="1">
        <v>823</v>
      </c>
      <c r="D19" s="1">
        <v>6</v>
      </c>
      <c r="E19" s="1">
        <v>55901.5</v>
      </c>
      <c r="F19" s="44">
        <f>((C19+(D19/60))-(C17+(D17/60)))*1.1</f>
        <v>11.14666666666666</v>
      </c>
      <c r="G19" s="44">
        <f>F19+G17</f>
        <v>75.4983333333334</v>
      </c>
      <c r="H19" s="31">
        <f>H17-F19+I19</f>
        <v>49.30325396825389</v>
      </c>
      <c r="I19" s="31">
        <v>37.5</v>
      </c>
      <c r="J19" s="31">
        <f>(H19/$G$3)*100</f>
        <v>56.474636363636286</v>
      </c>
      <c r="K19" s="31">
        <f>(H19/$B$5)*$G$5</f>
        <v>268.9268398268394</v>
      </c>
      <c r="L19" s="1">
        <v>1305.8</v>
      </c>
      <c r="M19" s="1">
        <v>48781.6</v>
      </c>
    </row>
    <row r="20" spans="1:13" ht="13.5">
      <c r="A20" s="75">
        <v>40663</v>
      </c>
      <c r="B20" s="76">
        <v>0.35</v>
      </c>
      <c r="C20" s="1">
        <v>825</v>
      </c>
      <c r="D20" s="1">
        <v>9</v>
      </c>
      <c r="E20" s="1">
        <v>56002.1</v>
      </c>
      <c r="F20" s="44">
        <f>((C20+(D20/60))-(C19+(D19/60)))*1.1</f>
        <v>2.25499999999995</v>
      </c>
      <c r="G20" s="44">
        <f>F20+G19</f>
        <v>77.75333333333336</v>
      </c>
      <c r="H20" s="31">
        <f>H19-F20+I20</f>
        <v>47.04825396825394</v>
      </c>
      <c r="I20" s="31"/>
      <c r="J20" s="31">
        <f>(H20/$G$3)*100</f>
        <v>53.891636363636344</v>
      </c>
      <c r="K20" s="31">
        <f>(H20/$B$5)*$G$5</f>
        <v>256.6268398268396</v>
      </c>
      <c r="L20" s="1">
        <v>1406.4</v>
      </c>
      <c r="M20" s="1">
        <v>48866.7</v>
      </c>
    </row>
    <row r="21" spans="1:13" ht="13.5">
      <c r="A21" s="75">
        <v>40664</v>
      </c>
      <c r="B21" s="76">
        <v>0.36319444444444443</v>
      </c>
      <c r="C21" s="1">
        <v>831</v>
      </c>
      <c r="D21" s="1">
        <v>7</v>
      </c>
      <c r="E21" s="1">
        <v>56176.3</v>
      </c>
      <c r="F21" s="44">
        <f>((C21+(D21/60))-(C20+(D20/60)))*1.1</f>
        <v>6.563333333333367</v>
      </c>
      <c r="G21" s="44">
        <f>F21+G20</f>
        <v>84.31666666666672</v>
      </c>
      <c r="H21" s="31">
        <f>H20-F21+I21</f>
        <v>40.48492063492057</v>
      </c>
      <c r="I21" s="31"/>
      <c r="J21" s="31">
        <f>(H21/$G$3)*100</f>
        <v>46.373636363636294</v>
      </c>
      <c r="K21" s="31">
        <f>(H21/$B$5)*$G$5</f>
        <v>220.82683982683943</v>
      </c>
      <c r="L21" s="1">
        <v>1580.6</v>
      </c>
      <c r="M21" s="1">
        <v>49056.7</v>
      </c>
    </row>
    <row r="22" spans="1:13" ht="13.5">
      <c r="A22" s="75">
        <v>40665</v>
      </c>
      <c r="B22" s="76">
        <v>0.3159722222222222</v>
      </c>
      <c r="C22" s="1">
        <v>836</v>
      </c>
      <c r="D22" s="1">
        <v>5</v>
      </c>
      <c r="E22" s="1">
        <v>56321.8</v>
      </c>
      <c r="F22" s="44">
        <f>((C22+(D22/60))-(C21+(D21/60)))*1.1</f>
        <v>5.463333333333367</v>
      </c>
      <c r="G22" s="44">
        <f>F22+G21</f>
        <v>89.78000000000009</v>
      </c>
      <c r="H22" s="31">
        <f>H21-F22+I22</f>
        <v>35.0215873015872</v>
      </c>
      <c r="I22" s="31"/>
      <c r="J22" s="31">
        <f>(H22/$G$3)*100</f>
        <v>40.115636363636256</v>
      </c>
      <c r="K22" s="31">
        <f>(H22/$B$5)*$G$5</f>
        <v>191.02683982683928</v>
      </c>
      <c r="L22" s="1">
        <v>1726.1</v>
      </c>
      <c r="M22" s="1">
        <v>49203.1</v>
      </c>
    </row>
    <row r="23" spans="1:13" ht="13.5">
      <c r="A23" s="75">
        <v>40666</v>
      </c>
      <c r="B23" s="76">
        <v>0.3590277777777778</v>
      </c>
      <c r="C23" s="1">
        <v>837</v>
      </c>
      <c r="D23" s="1">
        <v>18</v>
      </c>
      <c r="E23" s="1">
        <v>56411</v>
      </c>
      <c r="F23" s="44">
        <f>((C23+(D23/60))-(C22+(D22/60)))*1.1</f>
        <v>1.3383333333332417</v>
      </c>
      <c r="G23" s="44">
        <f>F23+G22</f>
        <v>91.11833333333333</v>
      </c>
      <c r="H23" s="31">
        <f>H22-F23+I23</f>
        <v>33.683253968253965</v>
      </c>
      <c r="I23" s="31"/>
      <c r="J23" s="31">
        <f>(H23/$G$3)*100</f>
        <v>38.58263636363636</v>
      </c>
      <c r="K23" s="31">
        <f>(H23/$B$5)*$G$5</f>
        <v>183.72683982683978</v>
      </c>
      <c r="L23" s="1">
        <v>1815.3</v>
      </c>
      <c r="M23" s="1">
        <v>49253.1</v>
      </c>
    </row>
    <row r="24" spans="1:13" ht="13.5">
      <c r="A24" s="75">
        <v>40667</v>
      </c>
      <c r="B24" s="76">
        <v>0.29930555555555555</v>
      </c>
      <c r="C24" s="1">
        <v>841</v>
      </c>
      <c r="D24" s="1">
        <v>3</v>
      </c>
      <c r="E24" s="1">
        <v>56484.6</v>
      </c>
      <c r="F24" s="44">
        <f>((C24+(D24/60))-(C23+(D23/60)))*1.1</f>
        <v>4.125</v>
      </c>
      <c r="G24" s="44">
        <f>F24+G23</f>
        <v>95.24333333333333</v>
      </c>
      <c r="H24" s="31">
        <f>H23-F24+I24</f>
        <v>29.558253968253965</v>
      </c>
      <c r="I24" s="31"/>
      <c r="J24" s="31">
        <f>(H24/$G$3)*100</f>
        <v>33.85763636363636</v>
      </c>
      <c r="K24" s="31">
        <f>(H24/$B$5)*$G$5</f>
        <v>161.22683982683978</v>
      </c>
      <c r="L24" s="1">
        <v>1888.9</v>
      </c>
      <c r="M24" s="1">
        <v>49363.1</v>
      </c>
    </row>
    <row r="25" spans="1:13" ht="13.5">
      <c r="A25" s="75">
        <v>40668</v>
      </c>
      <c r="B25" s="76">
        <v>0.3416666666666667</v>
      </c>
      <c r="C25" s="1">
        <v>846</v>
      </c>
      <c r="D25" s="1">
        <v>13</v>
      </c>
      <c r="E25" s="1">
        <v>56643.4</v>
      </c>
      <c r="F25" s="44">
        <f>((C25+(D25/60))-(C24+(D24/60)))*1.1</f>
        <v>5.683333333333417</v>
      </c>
      <c r="G25" s="44">
        <f>F25+G24</f>
        <v>100.92666666666675</v>
      </c>
      <c r="H25" s="31">
        <f>H24-F25+I25</f>
        <v>23.87492063492055</v>
      </c>
      <c r="I25" s="31"/>
      <c r="J25" s="31">
        <f>(H25/$G$3)*100</f>
        <v>27.34763636363627</v>
      </c>
      <c r="K25" s="31">
        <f>(H25/$B$5)*$G$5</f>
        <v>130.22683982683935</v>
      </c>
      <c r="L25" s="1">
        <v>2047.7</v>
      </c>
      <c r="M25" s="1">
        <v>49508.4</v>
      </c>
    </row>
    <row r="26" spans="1:13" ht="13.5">
      <c r="A26" s="75">
        <v>40669</v>
      </c>
      <c r="B26" s="76">
        <v>0.5576388888888889</v>
      </c>
      <c r="C26" s="1">
        <v>852.5</v>
      </c>
      <c r="D26" s="1">
        <v>5</v>
      </c>
      <c r="E26" s="1">
        <v>56862.3</v>
      </c>
      <c r="F26" s="44">
        <f>((C26+(D26/60))-(C25+(D25/60)))*1.1</f>
        <v>7.003333333333342</v>
      </c>
      <c r="G26" s="44">
        <f>F26+G25</f>
        <v>107.93000000000009</v>
      </c>
      <c r="H26" s="31">
        <f>H25-F26+I26</f>
        <v>31.87158730158721</v>
      </c>
      <c r="I26" s="31">
        <v>15</v>
      </c>
      <c r="J26" s="31">
        <f>(H26/$G$3)*100</f>
        <v>36.50745454545444</v>
      </c>
      <c r="K26" s="31">
        <f>(H26/$B$5)*$G$5</f>
        <v>173.84502164502112</v>
      </c>
      <c r="L26" s="1">
        <v>2266.6</v>
      </c>
      <c r="M26" s="1">
        <v>49704.4</v>
      </c>
    </row>
    <row r="27" spans="1:13" ht="13.5">
      <c r="A27" s="75">
        <v>40670</v>
      </c>
      <c r="B27" s="76">
        <v>0.34375</v>
      </c>
      <c r="C27" s="1">
        <v>854</v>
      </c>
      <c r="D27" s="1">
        <v>19</v>
      </c>
      <c r="E27" s="1">
        <v>56948.9</v>
      </c>
      <c r="F27" s="44">
        <f>((C27+(D27/60))-(C26+(D26/60)))*1.1</f>
        <v>1.9066666666666834</v>
      </c>
      <c r="G27" s="44">
        <f>F27+G26</f>
        <v>109.83666666666677</v>
      </c>
      <c r="H27" s="31">
        <f>H26-F27+I27</f>
        <v>29.964920634920524</v>
      </c>
      <c r="I27" s="31"/>
      <c r="J27" s="31">
        <f>(H27/$G$3)*100</f>
        <v>34.323454545454425</v>
      </c>
      <c r="K27" s="31">
        <f>(H27/$B$5)*$G$5</f>
        <v>163.44502164502103</v>
      </c>
      <c r="L27" s="1">
        <v>2353.2</v>
      </c>
      <c r="M27" s="1">
        <v>49769.8</v>
      </c>
    </row>
    <row r="28" spans="1:13" ht="13.5">
      <c r="A28" s="75">
        <v>40671</v>
      </c>
      <c r="B28" s="76">
        <v>0.36041666666666666</v>
      </c>
      <c r="C28" s="1">
        <v>857</v>
      </c>
      <c r="D28" s="1">
        <v>24</v>
      </c>
      <c r="E28" s="1">
        <v>57106.1</v>
      </c>
      <c r="F28" s="44">
        <f>((C28+(D28/60))-(C27+(D27/60)))*1.1</f>
        <v>3.3916666666665836</v>
      </c>
      <c r="G28" s="44">
        <f>F28+G27</f>
        <v>113.22833333333335</v>
      </c>
      <c r="H28" s="31">
        <f>H27-F28+I28</f>
        <v>26.57325396825394</v>
      </c>
      <c r="I28" s="31"/>
      <c r="J28" s="31">
        <f>(H28/$G$3)*100</f>
        <v>30.43845454545452</v>
      </c>
      <c r="K28" s="31">
        <f>(H28/$B$5)*$G$5</f>
        <v>144.94502164502148</v>
      </c>
      <c r="L28" s="1">
        <v>2516.4</v>
      </c>
      <c r="M28" s="1">
        <v>49899.8</v>
      </c>
    </row>
    <row r="29" spans="1:13" ht="13.5">
      <c r="A29" s="75">
        <v>40672</v>
      </c>
      <c r="B29" s="76">
        <v>0.3472222222222222</v>
      </c>
      <c r="C29" s="1">
        <v>861</v>
      </c>
      <c r="D29" s="1">
        <v>54</v>
      </c>
      <c r="E29" s="1">
        <v>57316.4</v>
      </c>
      <c r="F29" s="44">
        <f>((C29+(D29/60))-(C28+(D28/60)))*1.1</f>
        <v>4.95</v>
      </c>
      <c r="G29" s="44">
        <f>F29+G28</f>
        <v>118.17833333333336</v>
      </c>
      <c r="H29" s="31">
        <f>H28-F29+I29</f>
        <v>21.62325396825394</v>
      </c>
      <c r="I29" s="31"/>
      <c r="J29" s="31">
        <f>(H29/$G$3)*100</f>
        <v>24.768454545454517</v>
      </c>
      <c r="K29" s="31">
        <f>(H29/$B$5)*$G$5</f>
        <v>117.94502164502148</v>
      </c>
      <c r="L29" s="1">
        <v>2720.7</v>
      </c>
      <c r="M29" s="1">
        <v>50084.8</v>
      </c>
    </row>
    <row r="30" spans="1:13" ht="13.5">
      <c r="A30" s="75">
        <v>40673</v>
      </c>
      <c r="B30" s="76">
        <v>0.3611111111111111</v>
      </c>
      <c r="C30" s="1">
        <v>866</v>
      </c>
      <c r="D30" s="1">
        <v>59</v>
      </c>
      <c r="E30" s="1">
        <v>57440.7</v>
      </c>
      <c r="F30" s="44">
        <f>((C30+(D30/60))-(C29+(D29/60)))*1.1</f>
        <v>5.5916666666667085</v>
      </c>
      <c r="G30" s="44">
        <f>F30+G29</f>
        <v>123.77000000000007</v>
      </c>
      <c r="H30" s="31">
        <f>H29-F30+I30</f>
        <v>16.031587301587233</v>
      </c>
      <c r="I30" s="31"/>
      <c r="J30" s="31">
        <f>(H30/$G$3)*100</f>
        <v>18.36345454545447</v>
      </c>
      <c r="K30" s="31">
        <f>(H30/$B$5)*$G$5</f>
        <v>87.44502164502126</v>
      </c>
      <c r="L30" s="1">
        <v>2845</v>
      </c>
      <c r="M30" s="1">
        <v>50214.8</v>
      </c>
    </row>
    <row r="31" spans="8:11" ht="13.5">
      <c r="H31" s="31">
        <f>H30-F31+I31</f>
        <v>16.031587301587233</v>
      </c>
      <c r="I31" s="31"/>
      <c r="J31" s="31">
        <f>(H31/$G$3)*100</f>
        <v>18.36345454545447</v>
      </c>
      <c r="K31" s="31"/>
    </row>
    <row r="32" spans="8:11" ht="13.5">
      <c r="H32" s="31">
        <f>($G$3-G32)</f>
        <v>87.30158730158729</v>
      </c>
      <c r="I32" s="31"/>
      <c r="J32" s="31">
        <f>(H32/$G$3)*100</f>
        <v>100</v>
      </c>
      <c r="K32" s="31"/>
    </row>
    <row r="33" spans="8:11" ht="13.5">
      <c r="H33" s="31">
        <f>($G$3-G33)</f>
        <v>87.30158730158729</v>
      </c>
      <c r="I33" s="31"/>
      <c r="J33" s="31">
        <f>(H33/$G$3)*100</f>
        <v>100</v>
      </c>
      <c r="K33" s="31"/>
    </row>
    <row r="34" spans="8:11" ht="13.5">
      <c r="H34" s="31">
        <f>($G$3-G34)</f>
        <v>87.30158730158729</v>
      </c>
      <c r="I34" s="31"/>
      <c r="J34" s="31">
        <f>(H34/$G$3)*100</f>
        <v>100</v>
      </c>
      <c r="K34" s="31"/>
    </row>
    <row r="35" spans="8:11" ht="13.5">
      <c r="H35" s="31">
        <f>($G$3-G35)</f>
        <v>87.30158730158729</v>
      </c>
      <c r="I35" s="31"/>
      <c r="J35" s="31">
        <f>(H35/$G$3)*100</f>
        <v>100</v>
      </c>
      <c r="K35" s="31"/>
    </row>
    <row r="36" spans="8:11" ht="13.5">
      <c r="H36" s="31">
        <f>($G$3-G36)</f>
        <v>87.30158730158729</v>
      </c>
      <c r="I36" s="31"/>
      <c r="J36" s="31">
        <f>(H36/$G$3)*100</f>
        <v>100</v>
      </c>
      <c r="K36" s="31"/>
    </row>
    <row r="37" spans="8:11" ht="13.5">
      <c r="H37" s="31">
        <f>($G$3-G37)</f>
        <v>87.30158730158729</v>
      </c>
      <c r="I37" s="31"/>
      <c r="J37" s="31"/>
      <c r="K37" s="31"/>
    </row>
    <row r="38" spans="8:11" ht="13.5">
      <c r="H38" s="31">
        <f>($G$3-G38)</f>
        <v>87.30158730158729</v>
      </c>
      <c r="I38" s="31"/>
      <c r="J38" s="31"/>
      <c r="K38" s="31"/>
    </row>
    <row r="39" spans="8:11" ht="13.5">
      <c r="H39" s="31">
        <f>($G$3-G39)</f>
        <v>87.30158730158729</v>
      </c>
      <c r="I39" s="31"/>
      <c r="J39" s="31"/>
      <c r="K39" s="31"/>
    </row>
    <row r="40" spans="8:11" ht="13.5">
      <c r="H40" s="31">
        <f>($G$3-G40)</f>
        <v>87.30158730158729</v>
      </c>
      <c r="I40" s="31"/>
      <c r="J40" s="31"/>
      <c r="K40" s="31"/>
    </row>
    <row r="41" spans="8:11" ht="13.5">
      <c r="H41" s="31">
        <f>($G$3-G41)</f>
        <v>87.30158730158729</v>
      </c>
      <c r="I41" s="31"/>
      <c r="J41" s="31"/>
      <c r="K41" s="31"/>
    </row>
    <row r="42" spans="8:11" ht="13.5">
      <c r="H42" s="31">
        <f>($G$3-G42)</f>
        <v>87.30158730158729</v>
      </c>
      <c r="I42" s="31"/>
      <c r="J42" s="31"/>
      <c r="K42" s="31"/>
    </row>
    <row r="43" spans="8:11" ht="13.5">
      <c r="H43" s="31">
        <f>($G$3-G43)</f>
        <v>87.30158730158729</v>
      </c>
      <c r="I43" s="31"/>
      <c r="J43" s="31"/>
      <c r="K43" s="31"/>
    </row>
    <row r="44" spans="8:11" ht="13.5">
      <c r="H44" s="31">
        <f>($G$3-G44)</f>
        <v>87.30158730158729</v>
      </c>
      <c r="I44" s="31"/>
      <c r="J44" s="31"/>
      <c r="K44" s="31"/>
    </row>
    <row r="45" spans="8:11" ht="13.5">
      <c r="H45" s="31">
        <f>($G$3-G45)</f>
        <v>87.30158730158729</v>
      </c>
      <c r="I45" s="31"/>
      <c r="J45" s="31"/>
      <c r="K45" s="31"/>
    </row>
    <row r="46" spans="8:11" ht="13.5">
      <c r="H46" s="31">
        <f>($G$3-G46)</f>
        <v>87.30158730158729</v>
      </c>
      <c r="I46" s="31"/>
      <c r="J46" s="31"/>
      <c r="K46" s="31"/>
    </row>
    <row r="47" spans="8:11" ht="13.5">
      <c r="H47" s="31">
        <f>($G$3-G47)</f>
        <v>87.30158730158729</v>
      </c>
      <c r="I47" s="31"/>
      <c r="J47" s="31"/>
      <c r="K47" s="31"/>
    </row>
    <row r="48" spans="8:11" ht="13.5">
      <c r="H48" s="31">
        <f>($G$3-G48)</f>
        <v>87.30158730158729</v>
      </c>
      <c r="I48" s="31"/>
      <c r="J48" s="31"/>
      <c r="K48" s="31"/>
    </row>
    <row r="49" spans="8:11" ht="13.5">
      <c r="H49" s="31">
        <f>($G$3-G49)</f>
        <v>87.30158730158729</v>
      </c>
      <c r="I49" s="31"/>
      <c r="J49" s="31"/>
      <c r="K49" s="31"/>
    </row>
    <row r="50" spans="8:11" ht="13.5">
      <c r="H50" s="31">
        <f>($G$3-G50)</f>
        <v>87.30158730158729</v>
      </c>
      <c r="I50" s="31"/>
      <c r="J50" s="31"/>
      <c r="K50" s="31"/>
    </row>
    <row r="51" spans="8:11" ht="13.5">
      <c r="H51" s="31">
        <f>($G$3-G51)</f>
        <v>87.30158730158729</v>
      </c>
      <c r="I51" s="31"/>
      <c r="J51" s="31"/>
      <c r="K51" s="31"/>
    </row>
  </sheetData>
  <printOptions gridLines="1"/>
  <pageMargins left="0.7" right="0.7" top="0.75" bottom="0.75" header="0.5118055555555555" footer="0.5118055555555555"/>
  <pageSetup horizontalDpi="300" verticalDpi="300" orientation="landscape" scale="56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="80" zoomScaleNormal="80" zoomScaleSheetLayoutView="11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16384" width="8.7109375" style="0" customWidth="1"/>
  </cols>
  <sheetData>
    <row r="1" spans="2:4" ht="13.5">
      <c r="B1" s="77" t="s">
        <v>86</v>
      </c>
      <c r="D1" t="s">
        <v>87</v>
      </c>
    </row>
    <row r="3" spans="1:3" ht="13.5">
      <c r="A3" t="s">
        <v>88</v>
      </c>
      <c r="B3" t="s">
        <v>89</v>
      </c>
      <c r="C3" t="s">
        <v>90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80" zoomScaleNormal="80" zoomScaleSheetLayoutView="110" workbookViewId="0" topLeftCell="A1">
      <selection activeCell="A5" sqref="A5"/>
    </sheetView>
  </sheetViews>
  <sheetFormatPr defaultColWidth="9.140625" defaultRowHeight="15"/>
  <cols>
    <col min="1" max="1" width="11.140625" style="0" customWidth="1"/>
    <col min="2" max="2" width="9.140625" style="0" customWidth="1"/>
    <col min="3" max="5" width="10.7109375" style="0" customWidth="1"/>
    <col min="6" max="16384" width="8.7109375" style="0" customWidth="1"/>
  </cols>
  <sheetData>
    <row r="1" spans="1:4" ht="13.5">
      <c r="A1" s="46"/>
      <c r="B1" s="67" t="s">
        <v>91</v>
      </c>
      <c r="C1" s="46"/>
      <c r="D1" s="46"/>
    </row>
    <row r="2" spans="1:4" ht="13.5">
      <c r="A2" s="46"/>
      <c r="B2" s="67"/>
      <c r="C2" s="46"/>
      <c r="D2" s="46"/>
    </row>
    <row r="3" spans="1:5" ht="13.5">
      <c r="A3" s="46"/>
      <c r="B3" s="46"/>
      <c r="C3" s="46" t="s">
        <v>92</v>
      </c>
      <c r="D3" s="46" t="s">
        <v>93</v>
      </c>
      <c r="E3" s="46" t="s">
        <v>94</v>
      </c>
    </row>
    <row r="4" spans="1:5" ht="13.5">
      <c r="A4" s="46" t="s">
        <v>88</v>
      </c>
      <c r="B4" s="46" t="s">
        <v>89</v>
      </c>
      <c r="C4" s="46" t="s">
        <v>95</v>
      </c>
      <c r="D4" s="46" t="s">
        <v>95</v>
      </c>
      <c r="E4" s="46" t="s">
        <v>95</v>
      </c>
    </row>
    <row r="5" spans="1:2" ht="13.5">
      <c r="A5" s="78"/>
      <c r="B5" s="79"/>
    </row>
    <row r="6" spans="1:2" ht="13.5">
      <c r="A6" s="80"/>
      <c r="B6" s="81"/>
    </row>
    <row r="7" spans="1:2" ht="13.5">
      <c r="A7" s="80"/>
      <c r="B7" s="81"/>
    </row>
    <row r="8" spans="1:2" ht="13.5">
      <c r="A8" s="78"/>
      <c r="B8" s="82"/>
    </row>
    <row r="9" spans="1:2" ht="13.5">
      <c r="A9" s="80"/>
      <c r="B9" s="81"/>
    </row>
    <row r="10" spans="1:2" ht="13.5">
      <c r="A10" s="80"/>
      <c r="B10" s="81"/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="80" zoomScaleNormal="80" zoomScaleSheetLayoutView="110" workbookViewId="0" topLeftCell="A1">
      <selection activeCell="D48" sqref="D48"/>
    </sheetView>
  </sheetViews>
  <sheetFormatPr defaultColWidth="9.140625" defaultRowHeight="15"/>
  <cols>
    <col min="1" max="1" width="17.00390625" style="0" customWidth="1"/>
    <col min="2" max="2" width="12.28125" style="0" customWidth="1"/>
    <col min="3" max="3" width="12.140625" style="0" customWidth="1"/>
    <col min="4" max="16384" width="8.7109375" style="0" customWidth="1"/>
  </cols>
  <sheetData>
    <row r="1" ht="13.5">
      <c r="A1" s="46" t="s">
        <v>96</v>
      </c>
    </row>
    <row r="2" spans="1:7" ht="13.5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</row>
    <row r="3" spans="1:7" ht="13.5">
      <c r="A3">
        <v>4</v>
      </c>
      <c r="B3">
        <v>4</v>
      </c>
      <c r="C3">
        <v>25</v>
      </c>
      <c r="D3" s="44">
        <f>B3/C3</f>
        <v>0.16</v>
      </c>
      <c r="E3" s="44">
        <f>3.8*D3</f>
        <v>0.608</v>
      </c>
      <c r="F3">
        <v>8</v>
      </c>
      <c r="G3" s="44">
        <f>A3*3.8</f>
        <v>15.2</v>
      </c>
    </row>
    <row r="4" spans="1:7" ht="13.5">
      <c r="A4">
        <v>7</v>
      </c>
      <c r="B4">
        <v>3</v>
      </c>
      <c r="C4">
        <v>19</v>
      </c>
      <c r="D4" s="44">
        <f>B4/C4</f>
        <v>0.15789473684210525</v>
      </c>
      <c r="E4" s="44">
        <f>3.8*D4</f>
        <v>0.6</v>
      </c>
      <c r="F4">
        <v>11</v>
      </c>
      <c r="G4" s="44">
        <f>A4*3.8</f>
        <v>26.599999999999998</v>
      </c>
    </row>
    <row r="5" spans="1:7" ht="13.5">
      <c r="A5">
        <v>10</v>
      </c>
      <c r="B5">
        <v>3</v>
      </c>
      <c r="C5">
        <v>18</v>
      </c>
      <c r="D5" s="44">
        <f>B5/C5</f>
        <v>0.16666666666666666</v>
      </c>
      <c r="E5" s="44">
        <f>3.8*D5</f>
        <v>0.6333333333333333</v>
      </c>
      <c r="F5">
        <v>13.5</v>
      </c>
      <c r="G5" s="44">
        <f>A5*3.8</f>
        <v>38</v>
      </c>
    </row>
    <row r="6" spans="1:7" ht="13.5">
      <c r="A6">
        <v>14</v>
      </c>
      <c r="B6">
        <v>4</v>
      </c>
      <c r="C6">
        <v>23</v>
      </c>
      <c r="D6" s="44">
        <f>B6/C6</f>
        <v>0.17391304347826086</v>
      </c>
      <c r="E6" s="44">
        <f>3.8*D6</f>
        <v>0.6608695652173913</v>
      </c>
      <c r="F6">
        <v>16.5</v>
      </c>
      <c r="G6" s="44">
        <f>A6*3.8</f>
        <v>53.199999999999996</v>
      </c>
    </row>
    <row r="7" spans="1:7" ht="13.5">
      <c r="A7">
        <v>18</v>
      </c>
      <c r="B7">
        <v>4</v>
      </c>
      <c r="C7">
        <v>23</v>
      </c>
      <c r="D7" s="44">
        <f>B7/C7</f>
        <v>0.17391304347826086</v>
      </c>
      <c r="E7" s="44">
        <f>3.8*D7</f>
        <v>0.6608695652173913</v>
      </c>
      <c r="F7">
        <v>20</v>
      </c>
      <c r="G7" s="44">
        <f>A7*3.8</f>
        <v>68.39999999999999</v>
      </c>
    </row>
    <row r="8" spans="1:7" ht="13.5">
      <c r="A8">
        <v>22</v>
      </c>
      <c r="B8">
        <v>4</v>
      </c>
      <c r="C8">
        <v>23</v>
      </c>
      <c r="D8" s="44">
        <f>B8/C8</f>
        <v>0.17391304347826086</v>
      </c>
      <c r="E8" s="44">
        <f>3.8*D8</f>
        <v>0.6608695652173913</v>
      </c>
      <c r="F8">
        <v>24</v>
      </c>
      <c r="G8" s="44">
        <f>A8*3.8</f>
        <v>83.6</v>
      </c>
    </row>
    <row r="9" spans="1:7" ht="13.5">
      <c r="A9">
        <v>28</v>
      </c>
      <c r="B9">
        <v>6</v>
      </c>
      <c r="C9">
        <v>37</v>
      </c>
      <c r="D9" s="44">
        <f>B9/C9</f>
        <v>0.16216216216216217</v>
      </c>
      <c r="E9" s="44">
        <f>3.8*D9</f>
        <v>0.6162162162162163</v>
      </c>
      <c r="F9">
        <v>29.5</v>
      </c>
      <c r="G9" s="44">
        <f>A9*3.8</f>
        <v>106.39999999999999</v>
      </c>
    </row>
    <row r="10" spans="1:7" ht="13.5">
      <c r="A10">
        <v>30</v>
      </c>
      <c r="B10">
        <v>2</v>
      </c>
      <c r="C10">
        <v>12</v>
      </c>
      <c r="D10" s="44">
        <f>B10/C10</f>
        <v>0.16666666666666666</v>
      </c>
      <c r="E10" s="44">
        <f>3.8*D10</f>
        <v>0.6333333333333333</v>
      </c>
      <c r="F10">
        <v>31</v>
      </c>
      <c r="G10" s="44">
        <f>A10*3.8</f>
        <v>114</v>
      </c>
    </row>
    <row r="11" spans="1:7" ht="13.5">
      <c r="A11">
        <v>34</v>
      </c>
      <c r="B11">
        <v>4</v>
      </c>
      <c r="C11">
        <v>24</v>
      </c>
      <c r="D11" s="44">
        <f>B11/C11</f>
        <v>0.16666666666666666</v>
      </c>
      <c r="E11" s="44">
        <f>3.8*D11</f>
        <v>0.6333333333333333</v>
      </c>
      <c r="F11">
        <v>36</v>
      </c>
      <c r="G11" s="44">
        <f>A11*3.8</f>
        <v>129.2</v>
      </c>
    </row>
    <row r="12" spans="1:7" ht="13.5">
      <c r="A12">
        <v>35</v>
      </c>
      <c r="B12">
        <v>1</v>
      </c>
      <c r="C12">
        <v>6</v>
      </c>
      <c r="D12" s="44">
        <f>B12/C12</f>
        <v>0.16666666666666666</v>
      </c>
      <c r="E12" s="44">
        <f>3.8*D12</f>
        <v>0.6333333333333333</v>
      </c>
      <c r="F12">
        <v>37.5</v>
      </c>
      <c r="G12" s="44">
        <f>A12*3.8</f>
        <v>133</v>
      </c>
    </row>
    <row r="13" spans="1:7" ht="13.5">
      <c r="A13">
        <v>36</v>
      </c>
      <c r="B13">
        <v>1</v>
      </c>
      <c r="C13">
        <v>6</v>
      </c>
      <c r="D13" s="44">
        <f>B13/C13</f>
        <v>0.16666666666666666</v>
      </c>
      <c r="E13" s="44">
        <f>3.8*D13</f>
        <v>0.6333333333333333</v>
      </c>
      <c r="F13">
        <v>39</v>
      </c>
      <c r="G13" s="44">
        <f>A13*3.8</f>
        <v>136.79999999999998</v>
      </c>
    </row>
    <row r="14" spans="1:7" ht="13.5">
      <c r="A14">
        <v>37</v>
      </c>
      <c r="B14">
        <v>1</v>
      </c>
      <c r="C14">
        <v>6</v>
      </c>
      <c r="D14" s="44">
        <f>B14/C14</f>
        <v>0.16666666666666666</v>
      </c>
      <c r="E14" s="44">
        <f>3.8*D14</f>
        <v>0.6333333333333333</v>
      </c>
      <c r="F14">
        <v>40</v>
      </c>
      <c r="G14" s="44">
        <f>A14*3.8</f>
        <v>140.6</v>
      </c>
    </row>
    <row r="15" spans="2:6" ht="13.5">
      <c r="B15" s="46" t="s">
        <v>104</v>
      </c>
      <c r="C15" s="46"/>
      <c r="D15" s="46">
        <f>AVERAGE(D3:D14)</f>
        <v>0.16681633578658753</v>
      </c>
      <c r="E15" s="46">
        <f>AVERAGE(E3:E14)</f>
        <v>0.6339020759890323</v>
      </c>
      <c r="F15" s="46"/>
    </row>
    <row r="16" spans="1:9" ht="13.5">
      <c r="A16" s="83" t="s">
        <v>105</v>
      </c>
      <c r="B16" s="46"/>
      <c r="D16" s="46"/>
      <c r="E16" s="46"/>
      <c r="F16" s="67" t="s">
        <v>106</v>
      </c>
      <c r="G16" s="45">
        <f>(G14-G3)/(F14-F3)</f>
        <v>3.9187499999999997</v>
      </c>
      <c r="H16" t="s">
        <v>107</v>
      </c>
      <c r="I16" s="44"/>
    </row>
    <row r="17" spans="1:8" ht="13.5">
      <c r="A17" t="s">
        <v>108</v>
      </c>
      <c r="B17" s="46"/>
      <c r="C17" s="46"/>
      <c r="D17" s="46"/>
      <c r="E17" s="46"/>
      <c r="F17" s="46"/>
      <c r="G17" s="44">
        <f>G16/3.78</f>
        <v>1.036706349206349</v>
      </c>
      <c r="H17" t="s">
        <v>109</v>
      </c>
    </row>
    <row r="18" spans="1:6" ht="13.5">
      <c r="A18" t="s">
        <v>110</v>
      </c>
      <c r="B18" s="46"/>
      <c r="C18" s="46"/>
      <c r="D18" s="46"/>
      <c r="E18" s="46"/>
      <c r="F18" s="46"/>
    </row>
    <row r="20" ht="13.5">
      <c r="A20" s="46" t="s">
        <v>111</v>
      </c>
    </row>
    <row r="21" ht="13.5">
      <c r="A21" t="s">
        <v>112</v>
      </c>
    </row>
    <row r="22" ht="13.5">
      <c r="A22" t="s">
        <v>113</v>
      </c>
    </row>
    <row r="23" ht="13.5">
      <c r="A23" t="s">
        <v>114</v>
      </c>
    </row>
    <row r="25" spans="1:3" ht="13.5">
      <c r="A25" t="s">
        <v>115</v>
      </c>
      <c r="B25" t="s">
        <v>116</v>
      </c>
      <c r="C25" t="s">
        <v>117</v>
      </c>
    </row>
    <row r="26" spans="1:3" ht="13.5">
      <c r="A26">
        <v>5</v>
      </c>
      <c r="B26">
        <v>7.5</v>
      </c>
      <c r="C26" s="44">
        <f>A26*3.785</f>
        <v>18.925</v>
      </c>
    </row>
    <row r="27" spans="1:3" ht="13.5">
      <c r="A27">
        <v>10</v>
      </c>
      <c r="B27">
        <v>9.5</v>
      </c>
      <c r="C27" s="44">
        <f>A27*3.785</f>
        <v>37.85</v>
      </c>
    </row>
    <row r="28" spans="1:3" ht="13.5">
      <c r="A28">
        <v>15</v>
      </c>
      <c r="B28">
        <v>11</v>
      </c>
      <c r="C28" s="44">
        <f>A28*3.785</f>
        <v>56.775000000000006</v>
      </c>
    </row>
    <row r="29" spans="1:3" ht="13.5">
      <c r="A29">
        <v>20</v>
      </c>
      <c r="B29">
        <v>13</v>
      </c>
      <c r="C29" s="44">
        <f>A29*3.785</f>
        <v>75.7</v>
      </c>
    </row>
    <row r="30" spans="1:3" ht="13.5">
      <c r="A30">
        <v>30</v>
      </c>
      <c r="B30">
        <v>17</v>
      </c>
      <c r="C30" s="44">
        <f>A30*3.785</f>
        <v>113.55000000000001</v>
      </c>
    </row>
    <row r="31" spans="1:3" ht="13.5">
      <c r="A31">
        <v>40</v>
      </c>
      <c r="B31">
        <v>22</v>
      </c>
      <c r="C31" s="44">
        <f>A31*3.785</f>
        <v>151.4</v>
      </c>
    </row>
    <row r="32" spans="1:3" ht="13.5">
      <c r="A32">
        <v>50</v>
      </c>
      <c r="B32">
        <v>24</v>
      </c>
      <c r="C32" s="44">
        <f>A32*3.785</f>
        <v>189.25</v>
      </c>
    </row>
    <row r="33" spans="1:19" ht="13.5">
      <c r="A33">
        <v>60</v>
      </c>
      <c r="B33">
        <v>27.5</v>
      </c>
      <c r="C33" s="44">
        <f>A33*3.785</f>
        <v>227.10000000000002</v>
      </c>
      <c r="S33" t="s">
        <v>40</v>
      </c>
    </row>
    <row r="34" spans="1:3" ht="13.5">
      <c r="A34">
        <v>70</v>
      </c>
      <c r="B34">
        <v>30</v>
      </c>
      <c r="C34" s="44">
        <f>A34*3.785</f>
        <v>264.95</v>
      </c>
    </row>
    <row r="35" spans="1:3" ht="13.5">
      <c r="A35">
        <v>80</v>
      </c>
      <c r="B35">
        <v>33</v>
      </c>
      <c r="C35" s="44">
        <f>A35*3.785</f>
        <v>302.8</v>
      </c>
    </row>
    <row r="36" spans="1:3" ht="13.5">
      <c r="A36">
        <v>90</v>
      </c>
      <c r="B36">
        <v>38</v>
      </c>
      <c r="C36" s="44">
        <f>A36*3.785</f>
        <v>340.65000000000003</v>
      </c>
    </row>
    <row r="37" spans="1:19" ht="13.5">
      <c r="A37">
        <v>100</v>
      </c>
      <c r="B37">
        <v>41</v>
      </c>
      <c r="C37" s="44">
        <f>A37*3.785</f>
        <v>378.5</v>
      </c>
      <c r="H37" t="s">
        <v>40</v>
      </c>
      <c r="S37" t="s">
        <v>40</v>
      </c>
    </row>
    <row r="38" spans="1:3" ht="13.5">
      <c r="A38">
        <v>110</v>
      </c>
      <c r="B38">
        <v>45</v>
      </c>
      <c r="C38" s="44">
        <f>A38*3.785</f>
        <v>416.35</v>
      </c>
    </row>
    <row r="39" spans="1:3" ht="13.5">
      <c r="A39">
        <v>120</v>
      </c>
      <c r="B39">
        <v>48</v>
      </c>
      <c r="C39" s="44">
        <f>A39*3.785</f>
        <v>454.20000000000005</v>
      </c>
    </row>
    <row r="40" spans="1:3" ht="13.5">
      <c r="A40">
        <v>130</v>
      </c>
      <c r="B40">
        <v>51.5</v>
      </c>
      <c r="C40" s="44">
        <f>A40*3.785</f>
        <v>492.05</v>
      </c>
    </row>
    <row r="41" spans="1:3" ht="13.5">
      <c r="A41">
        <v>140</v>
      </c>
      <c r="B41">
        <v>55</v>
      </c>
      <c r="C41" s="44">
        <f>A41*3.785</f>
        <v>529.9</v>
      </c>
    </row>
    <row r="42" spans="1:3" ht="13.5">
      <c r="A42">
        <v>150</v>
      </c>
      <c r="B42">
        <v>58</v>
      </c>
      <c r="C42" s="44">
        <f>A42*3.785</f>
        <v>567.75</v>
      </c>
    </row>
    <row r="43" spans="1:3" ht="13.5">
      <c r="A43">
        <v>160</v>
      </c>
      <c r="B43">
        <v>61</v>
      </c>
      <c r="C43" s="44">
        <f>A43*3.785</f>
        <v>605.6</v>
      </c>
    </row>
    <row r="44" spans="1:3" ht="13.5">
      <c r="A44">
        <v>166.7</v>
      </c>
      <c r="B44">
        <v>63</v>
      </c>
      <c r="C44" s="44">
        <f>A44*3.785</f>
        <v>630.9594999999999</v>
      </c>
    </row>
    <row r="45" spans="1:4" ht="13.5">
      <c r="A45" s="66" t="s">
        <v>118</v>
      </c>
      <c r="B45" s="45">
        <f>(C43-C26)/(B43-B26)</f>
        <v>10.965887850467292</v>
      </c>
      <c r="C45" t="s">
        <v>107</v>
      </c>
      <c r="D45" s="44"/>
    </row>
    <row r="46" spans="1:4" ht="13.5">
      <c r="A46" s="66" t="s">
        <v>7</v>
      </c>
      <c r="B46" s="84" t="s">
        <v>119</v>
      </c>
      <c r="C46" t="s">
        <v>16</v>
      </c>
      <c r="D46" s="44"/>
    </row>
    <row r="47" spans="1:3" ht="13.5">
      <c r="A47" t="s">
        <v>120</v>
      </c>
      <c r="B47" s="44">
        <f>A44*3.785</f>
        <v>630.9594999999999</v>
      </c>
      <c r="C47" t="s">
        <v>16</v>
      </c>
    </row>
  </sheetData>
  <printOptions gridLines="1"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110" workbookViewId="0" topLeftCell="D1">
      <selection activeCell="C2" sqref="C2"/>
    </sheetView>
  </sheetViews>
  <sheetFormatPr defaultColWidth="11.421875" defaultRowHeight="1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2011-05-10T16:10:51Z</dcterms:modified>
  <cp:category/>
  <cp:version/>
  <cp:contentType/>
  <cp:contentStatus/>
  <cp:revision>30</cp:revision>
</cp:coreProperties>
</file>