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2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'Energy'!$A$1:$I$1</definedName>
  </definedNames>
  <calcPr fullCalcOnLoad="1"/>
</workbook>
</file>

<file path=xl/comments3.xml><?xml version="1.0" encoding="utf-8"?>
<comments xmlns="http://schemas.openxmlformats.org/spreadsheetml/2006/main">
  <authors>
    <author/>
    <author>Hilary B. Rollins</author>
  </authors>
  <commentList>
    <comment ref="E16" authorId="0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  <comment ref="C26" authorId="0">
      <text>
        <r>
          <rPr>
            <sz val="11"/>
            <color indexed="8"/>
            <rFont val="Calibri"/>
            <family val="2"/>
          </rPr>
          <t>Estimated run time</t>
        </r>
      </text>
    </comment>
    <comment ref="C29" authorId="0">
      <text>
        <r>
          <rPr>
            <sz val="11"/>
            <color indexed="8"/>
            <rFont val="Calibri"/>
            <family val="2"/>
          </rPr>
          <t>Estimated this run time</t>
        </r>
      </text>
    </comment>
    <comment ref="G32" authorId="0">
      <text>
        <r>
          <rPr>
            <sz val="11"/>
            <color indexed="8"/>
            <rFont val="Calibri"/>
            <family val="2"/>
          </rPr>
          <t>This number is wrong</t>
        </r>
      </text>
    </comment>
    <comment ref="H36" authorId="1">
      <text>
        <r>
          <rPr>
            <b/>
            <sz val="9"/>
            <rFont val="Tahoma"/>
            <family val="2"/>
          </rPr>
          <t>Hilary B. Rollins:</t>
        </r>
        <r>
          <rPr>
            <sz val="9"/>
            <rFont val="Tahoma"/>
            <family val="2"/>
          </rPr>
          <t xml:space="preserve">
extrapolated from quadratic formula because of broken port link 10; extrapolation tends to undervalue</t>
        </r>
      </text>
    </comment>
  </commentList>
</comments>
</file>

<file path=xl/sharedStrings.xml><?xml version="1.0" encoding="utf-8"?>
<sst xmlns="http://schemas.openxmlformats.org/spreadsheetml/2006/main" count="217" uniqueCount="131">
  <si>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</si>
  <si>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</si>
  <si>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</si>
  <si>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</si>
  <si>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</si>
  <si>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</si>
  <si>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</si>
  <si>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</si>
  <si>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</si>
  <si>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</si>
  <si>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</si>
  <si>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</si>
  <si>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</si>
  <si>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</si>
  <si>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</si>
  <si>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</si>
  <si>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</si>
  <si>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</si>
  <si>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</si>
  <si>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</si>
  <si>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</si>
  <si>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</si>
  <si>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</si>
  <si>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</si>
  <si>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</si>
  <si>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</si>
  <si>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</si>
  <si>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</si>
  <si>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</si>
  <si>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</si>
  <si>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</si>
  <si>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</si>
  <si>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</si>
  <si>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</si>
  <si>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</si>
  <si>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</si>
  <si>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</si>
  <si>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</si>
  <si>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</si>
  <si>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water full when arrived at FHL</t>
  </si>
  <si>
    <t>refilled at Roche</t>
  </si>
  <si>
    <t>refilled at FHL</t>
  </si>
  <si>
    <t>Forgot to measure before refilling, so it is an estimate.</t>
  </si>
  <si>
    <t>refilled at Port Angeles</t>
  </si>
  <si>
    <t>refilled at Roche Harbor</t>
  </si>
  <si>
    <t>Week 3</t>
  </si>
  <si>
    <t>Todd refilled at Bellingham before picking us up at FHL.  Water reading is an estimate for a full tank.</t>
  </si>
  <si>
    <t>refilled at roche</t>
  </si>
  <si>
    <t>Measurement before refilling at Roche Harbor.</t>
  </si>
  <si>
    <t>Pumped out at Reid Harbor, so couldn't refill water.</t>
  </si>
  <si>
    <t>Sewage fluxes</t>
  </si>
  <si>
    <t>intercept</t>
  </si>
  <si>
    <t>liters</t>
  </si>
  <si>
    <t>Daily usage</t>
  </si>
  <si>
    <t>pumped out at Roche</t>
  </si>
  <si>
    <t>pumped out at Friday Harbor</t>
  </si>
  <si>
    <t>Stayed the night at FHL, so used the land heads.</t>
  </si>
  <si>
    <t>pumped out at Port Angeles</t>
  </si>
  <si>
    <t>pumped out at Roche Harbor</t>
  </si>
  <si>
    <t>Todd pumped out at Bellingham before picking us up.</t>
  </si>
  <si>
    <t>the tank was really hard to read so it could be off</t>
  </si>
  <si>
    <t>The reading before pumping out at Roche Harbor.</t>
  </si>
  <si>
    <t>measurement before pumping out at Roche</t>
  </si>
  <si>
    <t>Pumped out at Reid Harbor</t>
  </si>
  <si>
    <t>ENERGY:</t>
  </si>
  <si>
    <t>Assumptions and conversion factors</t>
  </si>
  <si>
    <t xml:space="preserve"> 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</si>
  <si>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</si>
  <si>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</si>
  <si>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</si>
  <si>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</si>
  <si>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</si>
  <si>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</si>
  <si>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</si>
  <si>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</si>
  <si>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</si>
  <si>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</si>
  <si>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</si>
  <si>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</si>
  <si>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 Usage</t>
  </si>
  <si>
    <t>Trip</t>
  </si>
  <si>
    <t>Lifetime ahc</t>
  </si>
  <si>
    <t>(hours)</t>
  </si>
  <si>
    <t>(kWhr)</t>
  </si>
  <si>
    <t>(Ah)</t>
  </si>
  <si>
    <t>(gal)</t>
  </si>
  <si>
    <t>na</t>
  </si>
  <si>
    <t>start of data</t>
  </si>
  <si>
    <t>Link 10s not reset, but Port side was zero at reading so estimated from Ah consumed</t>
  </si>
  <si>
    <t>Added 15 gallons of bio-diesel at 12:00</t>
  </si>
  <si>
    <t>Todd put in 35 gal of bio-diesel in Bellingham</t>
  </si>
  <si>
    <t>engine troubles reset starboard and port kWh</t>
  </si>
  <si>
    <t>n/a</t>
  </si>
  <si>
    <t>The port side computer was unplugged so we couldn't get a reading off of the port side and the starboard side was reset</t>
  </si>
  <si>
    <t>Engine issues kept us from being able to read the port and starboard energy use.</t>
  </si>
  <si>
    <t>08::30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</si>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</sst>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mm/dd/yy"/>
    <numFmt numFmtId="168" formatCode="00"/>
    <numFmt numFmtId="169" formatCode="hh:mm\ AM/PM"/>
    <numFmt numFmtId="170" formatCode="hh:mm:ss\ AM/PM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8.4"/>
      <color indexed="8"/>
      <name val="Arial"/>
      <family val="2"/>
    </font>
    <font>
      <i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6.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.7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0" fillId="25" borderId="0" xfId="0" applyFill="1" applyAlignment="1">
      <alignment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7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0" fillId="24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7" fontId="0" fillId="24" borderId="0" xfId="0" applyNumberFormat="1" applyFill="1" applyAlignment="1">
      <alignment horizontal="left"/>
    </xf>
    <xf numFmtId="166" fontId="0" fillId="24" borderId="0" xfId="0" applyNumberForma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7" fontId="16" fillId="2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32" fillId="2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275"/>
          <c:w val="0.722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(Water!$L$10,Water!$L$11,Water!$L$11,Water!$L$11,Water!$L$11,Water!$L$11,Water!$L$11,Water!$L$11,Water!$L$11,Water!$L$11)</c:f>
              <c:numCache/>
            </c:numRef>
          </c:xVal>
          <c:yVal>
            <c:numRef>
              <c:f>(Water!$M$10,Water!$M$11,Water!$M$11,Water!$M$11,Water!$M$11,Water!$M$11,Water!$M$11,Water!$M$11,Water!$M$11,Water!$M$11)</c:f>
              <c:numCache/>
            </c:numRef>
          </c:yVal>
          <c:smooth val="0"/>
        </c:ser>
        <c:axId val="60242062"/>
        <c:axId val="5307647"/>
      </c:scatterChart>
      <c:valAx>
        <c:axId val="602420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5307647"/>
        <c:crosses val="autoZero"/>
        <c:crossBetween val="midCat"/>
        <c:dispUnits/>
      </c:val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235"/>
          <c:w val="0.2225"/>
          <c:h val="0.0167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11"/>
          <c:w val="0.8947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 val="autoZero"/>
        <c:crossBetween val="midCat"/>
        <c:dispUnits/>
      </c:valAx>
      <c:valAx>
        <c:axId val="27266233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68824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1455"/>
          <c:w val="0.836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44069506"/>
        <c:axId val="61081235"/>
      </c:scatterChart>
      <c:val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81235"/>
        <c:crosses val="autoZero"/>
        <c:crossBetween val="midCat"/>
        <c:dispUnits/>
      </c:val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425"/>
          <c:w val="0.88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Water!$A$10</c:f>
              <c:strCache>
                <c:ptCount val="1"/>
                <c:pt idx="0">
                  <c:v>39922</c:v>
                </c:pt>
              </c:strCache>
            </c:strRef>
          </c:xVal>
          <c:yVal>
            <c:numRef>
              <c:f>Water!$M$10</c:f>
              <c:numCache>
                <c:ptCount val="1"/>
              </c:numCache>
            </c:numRef>
          </c:yVal>
          <c:smooth val="0"/>
        </c:ser>
        <c:axId val="12860204"/>
        <c:axId val="48632973"/>
      </c:scatterChart>
      <c:val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/d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crossBetween val="midCat"/>
        <c:dispUnits/>
      </c:valAx>
      <c:valAx>
        <c:axId val="4863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125</xdr:row>
      <xdr:rowOff>76200</xdr:rowOff>
    </xdr:from>
    <xdr:to>
      <xdr:col>8</xdr:col>
      <xdr:colOff>142875</xdr:colOff>
      <xdr:row>170</xdr:row>
      <xdr:rowOff>104775</xdr:rowOff>
    </xdr:to>
    <xdr:graphicFrame>
      <xdr:nvGraphicFramePr>
        <xdr:cNvPr id="1" name="Chart 1"/>
        <xdr:cNvGraphicFramePr/>
      </xdr:nvGraphicFramePr>
      <xdr:xfrm>
        <a:off x="476250" y="25041225"/>
        <a:ext cx="44100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266700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95700" y="4552950"/>
        <a:ext cx="3981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152400</xdr:rowOff>
    </xdr:from>
    <xdr:to>
      <xdr:col>13</xdr:col>
      <xdr:colOff>180975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52400"/>
        <a:ext cx="2590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23900" y="190500"/>
        <a:ext cx="34956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120" zoomScaleNormal="120" zoomScalePageLayoutView="0" workbookViewId="0" topLeftCell="A1">
      <pane ySplit="8" topLeftCell="A54" activePane="bottomLeft" state="frozen"/>
      <selection pane="topLeft" activeCell="F1" sqref="F1"/>
      <selection pane="bottomLeft" activeCell="G62" sqref="G62"/>
    </sheetView>
  </sheetViews>
  <sheetFormatPr defaultColWidth="11.8515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57421875" style="0" customWidth="1"/>
    <col min="6" max="6" width="9.28125" style="0" customWidth="1"/>
    <col min="7" max="7" width="8.28125" style="0" customWidth="1"/>
    <col min="8" max="8" width="8.574218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</cols>
  <sheetData>
    <row r="1" spans="1:16" ht="15">
      <c r="A1" s="2" t="s">
        <v>0</v>
      </c>
      <c r="B1" s="2"/>
      <c r="C1" s="2"/>
      <c r="D1" s="3"/>
      <c r="I1"/>
      <c r="L1" s="4" t="s">
        <v>1</v>
      </c>
      <c r="M1" s="5"/>
      <c r="N1" s="5"/>
      <c r="O1" s="5"/>
      <c r="P1" s="5"/>
    </row>
    <row r="2" spans="1:16" ht="15">
      <c r="A2"/>
      <c r="B2"/>
      <c r="C2"/>
      <c r="D2" s="6"/>
      <c r="F2" s="7" t="s">
        <v>2</v>
      </c>
      <c r="I2"/>
      <c r="L2" s="5" t="s">
        <v>3</v>
      </c>
      <c r="M2" s="5"/>
      <c r="N2" s="5"/>
      <c r="O2" s="5"/>
      <c r="P2" s="5"/>
    </row>
    <row r="3" spans="1:16" ht="45">
      <c r="A3" s="8" t="s">
        <v>4</v>
      </c>
      <c r="B3" s="9" t="s">
        <v>5</v>
      </c>
      <c r="C3" s="9" t="s">
        <v>6</v>
      </c>
      <c r="D3" s="10" t="s">
        <v>7</v>
      </c>
      <c r="E3" s="11"/>
      <c r="F3" s="12" t="s">
        <v>8</v>
      </c>
      <c r="G3" s="12" t="s">
        <v>9</v>
      </c>
      <c r="H3" s="13" t="s">
        <v>10</v>
      </c>
      <c r="I3" s="13" t="s">
        <v>11</v>
      </c>
      <c r="K3" s="14"/>
      <c r="L3" s="5" t="s">
        <v>12</v>
      </c>
      <c r="M3" s="5"/>
      <c r="N3" s="5"/>
      <c r="O3" s="5"/>
      <c r="P3" s="5"/>
    </row>
    <row r="4" spans="1:16" ht="15">
      <c r="A4" s="15"/>
      <c r="B4" s="16">
        <v>3.785</v>
      </c>
      <c r="C4" s="17">
        <v>10.98</v>
      </c>
      <c r="D4">
        <v>-70.51</v>
      </c>
      <c r="E4" s="11"/>
      <c r="F4" s="18">
        <f>E34</f>
        <v>544.37</v>
      </c>
      <c r="G4" s="19">
        <f>M34</f>
        <v>12.178488888888888</v>
      </c>
      <c r="H4" s="20">
        <v>9</v>
      </c>
      <c r="I4" s="21">
        <f>F4/G4/H4</f>
        <v>4.966589542216513</v>
      </c>
      <c r="J4" s="21"/>
      <c r="K4" s="21"/>
      <c r="L4" s="5" t="s">
        <v>13</v>
      </c>
      <c r="M4" s="5"/>
      <c r="N4" s="5"/>
      <c r="O4" s="5"/>
      <c r="P4" s="5"/>
    </row>
    <row r="5" spans="1:16" ht="15">
      <c r="A5"/>
      <c r="B5" s="22"/>
      <c r="C5" s="22"/>
      <c r="D5" s="23"/>
      <c r="E5" s="24"/>
      <c r="F5" s="25"/>
      <c r="G5" s="26"/>
      <c r="H5" s="21"/>
      <c r="I5" s="21"/>
      <c r="J5" s="21"/>
      <c r="K5" s="21"/>
      <c r="L5" s="5" t="s">
        <v>14</v>
      </c>
      <c r="M5" s="5"/>
      <c r="N5" s="5"/>
      <c r="O5" s="5"/>
      <c r="P5" s="5"/>
    </row>
    <row r="6" spans="1:12" ht="15">
      <c r="A6" t="s">
        <v>15</v>
      </c>
      <c r="B6" s="22">
        <f>Calibrations!B47</f>
        <v>630.9594999999999</v>
      </c>
      <c r="C6" s="22"/>
      <c r="D6" s="21" t="s">
        <v>16</v>
      </c>
      <c r="E6" s="27"/>
      <c r="F6" s="27"/>
      <c r="I6"/>
      <c r="L6"/>
    </row>
    <row r="7" spans="1:15" s="32" customFormat="1" ht="60.75" customHeight="1">
      <c r="A7" s="28" t="s">
        <v>17</v>
      </c>
      <c r="B7" s="28" t="s">
        <v>18</v>
      </c>
      <c r="C7" s="28" t="s">
        <v>18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22</v>
      </c>
      <c r="I7" s="31" t="s">
        <v>23</v>
      </c>
      <c r="J7" s="30" t="s">
        <v>24</v>
      </c>
      <c r="K7" s="30" t="s">
        <v>24</v>
      </c>
      <c r="L7" s="31" t="s">
        <v>25</v>
      </c>
      <c r="M7" s="30" t="s">
        <v>26</v>
      </c>
      <c r="N7" s="30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31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5" ht="15">
      <c r="A10" s="35">
        <v>39922</v>
      </c>
      <c r="B10" s="36"/>
      <c r="C10" s="36"/>
      <c r="D10" s="37">
        <v>64</v>
      </c>
      <c r="E10" s="38">
        <f aca="true" t="shared" si="0" ref="E10:E31">IF(D10&lt;64,D10*$C$4+$D$4,630)</f>
        <v>630</v>
      </c>
      <c r="F10" s="38">
        <f aca="true" t="shared" si="1" ref="F10:F31">E10/$B$4</f>
        <v>166.44649933949802</v>
      </c>
      <c r="G10" s="38"/>
      <c r="H10" s="38"/>
      <c r="I10" s="39"/>
      <c r="J10" s="38"/>
      <c r="K10" s="38"/>
      <c r="L10" s="37"/>
      <c r="M10" s="38"/>
      <c r="N10" s="38"/>
      <c r="O10" t="s">
        <v>39</v>
      </c>
    </row>
    <row r="11" spans="1:14" ht="15">
      <c r="A11" s="35">
        <v>39923</v>
      </c>
      <c r="B11" s="1">
        <v>8</v>
      </c>
      <c r="C11" s="1">
        <v>45</v>
      </c>
      <c r="D11" s="1">
        <v>55.5</v>
      </c>
      <c r="E11" s="38">
        <f t="shared" si="0"/>
        <v>538.88</v>
      </c>
      <c r="F11" s="38">
        <f t="shared" si="1"/>
        <v>142.37252311756936</v>
      </c>
      <c r="G11" s="38">
        <f>E10-E11</f>
        <v>91.12</v>
      </c>
      <c r="H11" s="38">
        <f>G11/$B$4</f>
        <v>24.073976221928667</v>
      </c>
      <c r="I11" s="1">
        <v>24</v>
      </c>
      <c r="J11" s="38">
        <f>(G11/I11)*24</f>
        <v>91.12</v>
      </c>
      <c r="K11" s="38">
        <f>J11/$B$4</f>
        <v>24.073976221928667</v>
      </c>
      <c r="L11" s="40">
        <v>8</v>
      </c>
      <c r="M11" s="38">
        <f>J11/L11</f>
        <v>11.39</v>
      </c>
      <c r="N11" s="38">
        <f>M11/$B$4</f>
        <v>3.0092470277410834</v>
      </c>
    </row>
    <row r="12" spans="1:14" ht="15">
      <c r="A12" s="35">
        <v>39924</v>
      </c>
      <c r="B12" s="1">
        <v>8</v>
      </c>
      <c r="C12" s="1">
        <v>45</v>
      </c>
      <c r="D12" s="1">
        <v>47.5</v>
      </c>
      <c r="E12" s="38">
        <f t="shared" si="0"/>
        <v>451.0400000000001</v>
      </c>
      <c r="F12" s="38">
        <f t="shared" si="1"/>
        <v>119.1651254953765</v>
      </c>
      <c r="G12" s="38">
        <f>E11-E12</f>
        <v>87.83999999999992</v>
      </c>
      <c r="H12" s="38">
        <f>G12/$B$4</f>
        <v>23.207397622192843</v>
      </c>
      <c r="I12" s="1">
        <v>24</v>
      </c>
      <c r="J12" s="38">
        <f>(G12/I12)*24</f>
        <v>87.83999999999992</v>
      </c>
      <c r="K12" s="38">
        <f>J12/$B$4</f>
        <v>23.207397622192843</v>
      </c>
      <c r="L12" s="1">
        <v>8</v>
      </c>
      <c r="M12" s="38">
        <f>J12/L12</f>
        <v>10.97999999999999</v>
      </c>
      <c r="N12" s="38">
        <f>M12/$B$4</f>
        <v>2.9009247027741054</v>
      </c>
    </row>
    <row r="13" spans="1:14" ht="15">
      <c r="A13" s="35">
        <v>39925</v>
      </c>
      <c r="B13" s="1">
        <v>8</v>
      </c>
      <c r="C13" s="1">
        <v>45</v>
      </c>
      <c r="D13" s="1">
        <v>39.5</v>
      </c>
      <c r="E13" s="38">
        <f t="shared" si="0"/>
        <v>363.20000000000005</v>
      </c>
      <c r="F13" s="38">
        <f t="shared" si="1"/>
        <v>95.95772787318363</v>
      </c>
      <c r="G13" s="38">
        <f>E12-E13</f>
        <v>87.84000000000003</v>
      </c>
      <c r="H13" s="38">
        <f>G13/$B$4</f>
        <v>23.207397622192875</v>
      </c>
      <c r="I13" s="1">
        <v>24</v>
      </c>
      <c r="J13" s="38">
        <f>(G13/I13)*24</f>
        <v>87.84000000000003</v>
      </c>
      <c r="K13" s="38">
        <f>J13/$B$4</f>
        <v>23.207397622192875</v>
      </c>
      <c r="L13" s="1">
        <v>8</v>
      </c>
      <c r="M13" s="38">
        <f>J13/L13</f>
        <v>10.980000000000004</v>
      </c>
      <c r="N13" s="38">
        <f>M13/$B$4</f>
        <v>2.9009247027741094</v>
      </c>
    </row>
    <row r="14" spans="1:14" ht="15">
      <c r="A14" s="35">
        <v>39925</v>
      </c>
      <c r="B14" s="1">
        <v>11</v>
      </c>
      <c r="C14" s="1">
        <v>30</v>
      </c>
      <c r="D14" s="1">
        <v>39</v>
      </c>
      <c r="E14" s="38">
        <f t="shared" si="0"/>
        <v>357.71000000000004</v>
      </c>
      <c r="F14" s="38">
        <f t="shared" si="1"/>
        <v>94.50726552179657</v>
      </c>
      <c r="G14" s="38">
        <f>E13-E14</f>
        <v>5.490000000000009</v>
      </c>
      <c r="H14" s="38">
        <f>G14/$B$4</f>
        <v>1.4504623513870565</v>
      </c>
      <c r="I14" s="1">
        <v>2.75</v>
      </c>
      <c r="J14" s="38">
        <f>(G14/I14)*24</f>
        <v>47.91272727272735</v>
      </c>
      <c r="K14" s="38">
        <f>J14/$B$4</f>
        <v>12.65858052119613</v>
      </c>
      <c r="L14" s="1">
        <v>8</v>
      </c>
      <c r="M14" s="38">
        <f>J14/L14</f>
        <v>5.989090909090919</v>
      </c>
      <c r="N14" s="38">
        <f>M14/$B$4</f>
        <v>1.5823225651495163</v>
      </c>
    </row>
    <row r="15" spans="1:15" ht="15">
      <c r="A15" s="35">
        <v>39925</v>
      </c>
      <c r="B15" s="1">
        <v>1</v>
      </c>
      <c r="C15" s="1">
        <v>0</v>
      </c>
      <c r="D15" s="1">
        <v>79</v>
      </c>
      <c r="E15" s="38">
        <f t="shared" si="0"/>
        <v>630</v>
      </c>
      <c r="F15" s="38">
        <f t="shared" si="1"/>
        <v>166.44649933949802</v>
      </c>
      <c r="I15" s="1">
        <v>1.5</v>
      </c>
      <c r="L15" s="1">
        <v>8</v>
      </c>
      <c r="O15" t="s">
        <v>40</v>
      </c>
    </row>
    <row r="16" spans="1:14" ht="15">
      <c r="A16" s="35">
        <v>39926</v>
      </c>
      <c r="B16" s="1">
        <v>8</v>
      </c>
      <c r="C16" s="1">
        <v>40</v>
      </c>
      <c r="D16" s="1">
        <v>58</v>
      </c>
      <c r="E16" s="38">
        <f t="shared" si="0"/>
        <v>566.33</v>
      </c>
      <c r="F16" s="38">
        <f t="shared" si="1"/>
        <v>149.62483487450464</v>
      </c>
      <c r="G16" s="38">
        <f>E15-E16</f>
        <v>63.66999999999996</v>
      </c>
      <c r="H16" s="38">
        <f>G16/$B$4</f>
        <v>16.821664464993383</v>
      </c>
      <c r="I16" s="1">
        <v>19.75</v>
      </c>
      <c r="J16" s="38">
        <f>(G16/I16)*24</f>
        <v>77.37113924050628</v>
      </c>
      <c r="K16" s="38">
        <f>J16/$B$4</f>
        <v>20.441516311890695</v>
      </c>
      <c r="L16" s="1">
        <v>8</v>
      </c>
      <c r="M16" s="38">
        <f>J16/L16</f>
        <v>9.671392405063285</v>
      </c>
      <c r="N16" s="38">
        <f>M16/$B$4</f>
        <v>2.555189538986337</v>
      </c>
    </row>
    <row r="17" spans="1:14" ht="15">
      <c r="A17" s="35">
        <v>39927</v>
      </c>
      <c r="B17" s="1">
        <v>8</v>
      </c>
      <c r="C17" s="1">
        <v>40</v>
      </c>
      <c r="D17" s="1">
        <v>48.5</v>
      </c>
      <c r="E17" s="38">
        <f t="shared" si="0"/>
        <v>462.02</v>
      </c>
      <c r="F17" s="38">
        <f t="shared" si="1"/>
        <v>122.06605019815059</v>
      </c>
      <c r="G17" s="38">
        <f>E16-E17</f>
        <v>104.31000000000006</v>
      </c>
      <c r="H17" s="38">
        <f>G17/$B$4</f>
        <v>27.558784676354044</v>
      </c>
      <c r="I17" s="1">
        <v>24</v>
      </c>
      <c r="J17" s="38">
        <f>(G17/I17)*24</f>
        <v>104.31000000000006</v>
      </c>
      <c r="K17" s="38">
        <f>J17/$B$4</f>
        <v>27.558784676354044</v>
      </c>
      <c r="L17" s="1">
        <v>7.5</v>
      </c>
      <c r="M17" s="38">
        <f>J17/L17</f>
        <v>13.908000000000008</v>
      </c>
      <c r="N17" s="38">
        <f>M17/$B$4</f>
        <v>3.6745046235138727</v>
      </c>
    </row>
    <row r="18" spans="1:14" ht="15">
      <c r="A18" s="35">
        <v>39928</v>
      </c>
      <c r="B18" s="1">
        <v>9</v>
      </c>
      <c r="C18" s="1">
        <v>0</v>
      </c>
      <c r="D18" s="1">
        <v>40</v>
      </c>
      <c r="E18" s="38">
        <f t="shared" si="0"/>
        <v>368.69000000000005</v>
      </c>
      <c r="F18" s="38">
        <f t="shared" si="1"/>
        <v>97.40819022457069</v>
      </c>
      <c r="G18" s="38">
        <f>E17-E18</f>
        <v>93.32999999999993</v>
      </c>
      <c r="H18" s="38">
        <f>G18/$B$4</f>
        <v>24.6578599735799</v>
      </c>
      <c r="I18" s="1">
        <v>24.25</v>
      </c>
      <c r="J18" s="38">
        <f>(G18/I18)*24</f>
        <v>92.36783505154631</v>
      </c>
      <c r="K18" s="38">
        <f>J18/$B$4</f>
        <v>24.403655231584228</v>
      </c>
      <c r="L18" s="1">
        <v>7</v>
      </c>
      <c r="M18" s="38">
        <f>J18/L18</f>
        <v>13.195405007363759</v>
      </c>
      <c r="N18" s="38">
        <f>M18/$B$4</f>
        <v>3.4862364616548898</v>
      </c>
    </row>
    <row r="19" spans="1:14" ht="15">
      <c r="A19" s="35">
        <v>39929</v>
      </c>
      <c r="B19" s="1">
        <v>10</v>
      </c>
      <c r="C19" s="1">
        <v>0</v>
      </c>
      <c r="D19" s="1">
        <v>35</v>
      </c>
      <c r="E19" s="38">
        <f t="shared" si="0"/>
        <v>313.79</v>
      </c>
      <c r="F19" s="38">
        <f t="shared" si="1"/>
        <v>82.90356671070013</v>
      </c>
      <c r="G19" s="38">
        <f>E18-E19</f>
        <v>54.900000000000034</v>
      </c>
      <c r="H19" s="38">
        <f>G19/$B$4</f>
        <v>14.50462351387055</v>
      </c>
      <c r="I19" s="1">
        <v>25</v>
      </c>
      <c r="J19" s="38">
        <f>(G19/I19)*24</f>
        <v>52.704000000000036</v>
      </c>
      <c r="K19" s="38">
        <f>J19/$B$4</f>
        <v>13.92443857331573</v>
      </c>
      <c r="L19" s="1">
        <v>6</v>
      </c>
      <c r="M19" s="38">
        <f>J19/L19</f>
        <v>8.784000000000006</v>
      </c>
      <c r="N19" s="38">
        <f>M19/$B$4</f>
        <v>2.3207397622192882</v>
      </c>
    </row>
    <row r="20" spans="1:15" ht="15">
      <c r="A20" s="35">
        <v>39929</v>
      </c>
      <c r="B20" s="1">
        <v>10</v>
      </c>
      <c r="C20" s="1">
        <v>30</v>
      </c>
      <c r="D20" s="1">
        <v>74</v>
      </c>
      <c r="E20" s="38">
        <f t="shared" si="0"/>
        <v>630</v>
      </c>
      <c r="F20" s="38">
        <f t="shared" si="1"/>
        <v>166.44649933949802</v>
      </c>
      <c r="G20" s="38"/>
      <c r="H20" s="38"/>
      <c r="I20" s="1">
        <v>0.5</v>
      </c>
      <c r="L20" s="1">
        <v>7</v>
      </c>
      <c r="O20" t="s">
        <v>41</v>
      </c>
    </row>
    <row r="21" spans="1:15" ht="15">
      <c r="A21" s="35">
        <v>39930</v>
      </c>
      <c r="B21" s="1">
        <v>8</v>
      </c>
      <c r="C21" s="1">
        <v>20</v>
      </c>
      <c r="D21" s="1">
        <v>54</v>
      </c>
      <c r="E21" s="38">
        <f t="shared" si="0"/>
        <v>522.4100000000001</v>
      </c>
      <c r="F21" s="38">
        <f t="shared" si="1"/>
        <v>138.0211360634082</v>
      </c>
      <c r="G21" s="38">
        <f>E20-E21</f>
        <v>107.58999999999992</v>
      </c>
      <c r="H21" s="38">
        <f>G21/$B$4</f>
        <v>28.425363276089804</v>
      </c>
      <c r="I21" s="1">
        <v>22.1</v>
      </c>
      <c r="J21" s="38">
        <f>(G21/I21)*24</f>
        <v>116.8398190045248</v>
      </c>
      <c r="K21" s="38">
        <f>J21/$B$4</f>
        <v>30.869172788513815</v>
      </c>
      <c r="L21" s="1">
        <v>7</v>
      </c>
      <c r="M21" s="38">
        <f>J21/L21</f>
        <v>16.691402714932114</v>
      </c>
      <c r="N21" s="38">
        <f>M21/$B$4</f>
        <v>4.409881826930545</v>
      </c>
      <c r="O21" t="s">
        <v>42</v>
      </c>
    </row>
    <row r="22" spans="1:14" ht="15">
      <c r="A22" s="35">
        <v>39931</v>
      </c>
      <c r="B22" s="1">
        <v>8</v>
      </c>
      <c r="C22" s="1">
        <v>45</v>
      </c>
      <c r="D22" s="1">
        <v>44</v>
      </c>
      <c r="E22" s="38">
        <f t="shared" si="0"/>
        <v>412.61</v>
      </c>
      <c r="F22" s="38">
        <f t="shared" si="1"/>
        <v>109.01188903566711</v>
      </c>
      <c r="G22" s="38">
        <f>E21-E22</f>
        <v>109.80000000000007</v>
      </c>
      <c r="H22" s="38">
        <f>G22/$B$4</f>
        <v>29.0092470277411</v>
      </c>
      <c r="I22" s="1">
        <v>24.5</v>
      </c>
      <c r="J22" s="38">
        <f>(G22/I22)*24</f>
        <v>107.55918367346946</v>
      </c>
      <c r="K22" s="38">
        <f>J22/$B$4</f>
        <v>28.417221578195367</v>
      </c>
      <c r="L22" s="1">
        <v>7</v>
      </c>
      <c r="M22" s="38">
        <f>J22/L22</f>
        <v>15.365597667638495</v>
      </c>
      <c r="N22" s="38">
        <f>M22/$B$4</f>
        <v>4.059603082599338</v>
      </c>
    </row>
    <row r="23" spans="1:14" ht="15">
      <c r="A23" s="35">
        <v>39931</v>
      </c>
      <c r="B23" s="1">
        <v>12</v>
      </c>
      <c r="C23" s="1">
        <v>0</v>
      </c>
      <c r="D23" s="1">
        <v>42</v>
      </c>
      <c r="E23" s="38">
        <f t="shared" si="0"/>
        <v>390.65000000000003</v>
      </c>
      <c r="F23" s="38">
        <f t="shared" si="1"/>
        <v>103.2100396301189</v>
      </c>
      <c r="G23" s="38">
        <f>E22-E23</f>
        <v>21.95999999999998</v>
      </c>
      <c r="H23" s="38">
        <f>G23/$B$4</f>
        <v>5.801849405548211</v>
      </c>
      <c r="I23" s="1">
        <v>3.25</v>
      </c>
      <c r="J23" s="38">
        <f>(G23/I23)*24</f>
        <v>162.1661538461537</v>
      </c>
      <c r="K23" s="38">
        <f>J23/$B$4</f>
        <v>42.84442637943294</v>
      </c>
      <c r="L23" s="1">
        <v>7</v>
      </c>
      <c r="M23" s="38">
        <f>J23/L23</f>
        <v>23.166593406593385</v>
      </c>
      <c r="N23" s="38">
        <f>M23/$B$4</f>
        <v>6.120632339918992</v>
      </c>
    </row>
    <row r="24" spans="1:15" ht="15">
      <c r="A24" s="35">
        <v>39931</v>
      </c>
      <c r="B24" s="1">
        <v>12</v>
      </c>
      <c r="C24" s="1">
        <v>0</v>
      </c>
      <c r="D24" s="1">
        <v>65</v>
      </c>
      <c r="E24" s="38">
        <f t="shared" si="0"/>
        <v>630</v>
      </c>
      <c r="F24" s="38">
        <f t="shared" si="1"/>
        <v>166.44649933949802</v>
      </c>
      <c r="O24" t="s">
        <v>43</v>
      </c>
    </row>
    <row r="25" spans="1:14" ht="15">
      <c r="A25" s="35">
        <v>39932</v>
      </c>
      <c r="B25" s="1">
        <v>9</v>
      </c>
      <c r="C25" s="1">
        <v>0</v>
      </c>
      <c r="D25" s="1">
        <v>57</v>
      </c>
      <c r="E25" s="38">
        <f t="shared" si="0"/>
        <v>555.35</v>
      </c>
      <c r="F25" s="38">
        <f t="shared" si="1"/>
        <v>146.72391017173052</v>
      </c>
      <c r="G25" s="38">
        <f>E24-E25</f>
        <v>74.64999999999998</v>
      </c>
      <c r="H25" s="38">
        <f>G25/$B$4</f>
        <v>19.722589167767495</v>
      </c>
      <c r="I25" s="1">
        <v>18</v>
      </c>
      <c r="J25" s="38">
        <f>(G25/I25)*24</f>
        <v>99.5333333333333</v>
      </c>
      <c r="K25" s="38">
        <f>J25/$B$4</f>
        <v>26.29678555702333</v>
      </c>
      <c r="L25" s="1">
        <v>7</v>
      </c>
      <c r="M25" s="38">
        <f>J25/L25</f>
        <v>14.219047619047615</v>
      </c>
      <c r="N25" s="38">
        <f>M25/$B$4</f>
        <v>3.756683651003333</v>
      </c>
    </row>
    <row r="26" spans="1:14" ht="15">
      <c r="A26" s="35">
        <v>39933</v>
      </c>
      <c r="B26" s="1">
        <v>8</v>
      </c>
      <c r="C26" s="1">
        <v>30</v>
      </c>
      <c r="D26" s="1">
        <v>47.5</v>
      </c>
      <c r="E26" s="38">
        <f t="shared" si="0"/>
        <v>451.0400000000001</v>
      </c>
      <c r="F26" s="38">
        <f t="shared" si="1"/>
        <v>119.1651254953765</v>
      </c>
      <c r="G26" s="38">
        <f>E25-E26</f>
        <v>104.30999999999995</v>
      </c>
      <c r="H26" s="38">
        <f>G26/$B$4</f>
        <v>27.558784676354012</v>
      </c>
      <c r="I26" s="1">
        <v>23.5</v>
      </c>
      <c r="J26" s="38">
        <f>(G26/I26)*24</f>
        <v>106.5293617021276</v>
      </c>
      <c r="K26" s="38">
        <f>J26/$B$4</f>
        <v>28.145141797127504</v>
      </c>
      <c r="L26" s="1">
        <v>8</v>
      </c>
      <c r="M26" s="38">
        <f>J26/L26</f>
        <v>13.31617021276595</v>
      </c>
      <c r="N26" s="38">
        <f>M26/$B$4</f>
        <v>3.518142724640938</v>
      </c>
    </row>
    <row r="27" spans="1:14" ht="15">
      <c r="A27" s="35">
        <v>39934</v>
      </c>
      <c r="B27" s="1">
        <v>8</v>
      </c>
      <c r="C27" s="1">
        <v>36</v>
      </c>
      <c r="D27" s="1">
        <v>38</v>
      </c>
      <c r="E27" s="38">
        <f t="shared" si="0"/>
        <v>346.73</v>
      </c>
      <c r="F27" s="38">
        <f t="shared" si="1"/>
        <v>91.60634081902246</v>
      </c>
      <c r="G27" s="38">
        <f>E26-E27</f>
        <v>104.31000000000006</v>
      </c>
      <c r="H27" s="38">
        <f>G27/$B$4</f>
        <v>27.558784676354044</v>
      </c>
      <c r="I27" s="1">
        <v>24.1</v>
      </c>
      <c r="J27" s="38">
        <f>(G27/I27)*24</f>
        <v>103.87717842323657</v>
      </c>
      <c r="K27" s="38">
        <f>J27/$B$4</f>
        <v>27.44443287271772</v>
      </c>
      <c r="L27" s="1">
        <v>8</v>
      </c>
      <c r="M27" s="38">
        <f>J27/L27</f>
        <v>12.984647302904571</v>
      </c>
      <c r="N27" s="38">
        <f>M27/$B$4</f>
        <v>3.430554109089715</v>
      </c>
    </row>
    <row r="28" spans="1:14" ht="15">
      <c r="A28" s="35">
        <v>39934</v>
      </c>
      <c r="B28" s="1">
        <v>10</v>
      </c>
      <c r="C28" s="1">
        <v>15</v>
      </c>
      <c r="D28" s="1">
        <v>36</v>
      </c>
      <c r="E28" s="38">
        <f t="shared" si="0"/>
        <v>324.77000000000004</v>
      </c>
      <c r="F28" s="38">
        <f t="shared" si="1"/>
        <v>85.80449141347425</v>
      </c>
      <c r="G28" s="38">
        <f>E27-E28</f>
        <v>21.95999999999998</v>
      </c>
      <c r="H28" s="38">
        <f>G28/$B$4</f>
        <v>5.801849405548211</v>
      </c>
      <c r="I28" s="1">
        <v>1.25</v>
      </c>
      <c r="J28" s="38">
        <f>(G28/I28)*24</f>
        <v>421.6319999999996</v>
      </c>
      <c r="K28" s="38">
        <f>J28/$B$4</f>
        <v>111.39550858652565</v>
      </c>
      <c r="L28" s="1">
        <v>8</v>
      </c>
      <c r="M28" s="38">
        <f>J28/L28</f>
        <v>52.70399999999995</v>
      </c>
      <c r="N28" s="38">
        <f>M28/$B$4</f>
        <v>13.924438573315706</v>
      </c>
    </row>
    <row r="29" spans="1:15" ht="15">
      <c r="A29" s="35">
        <v>39934</v>
      </c>
      <c r="B29" s="1">
        <v>11</v>
      </c>
      <c r="C29" s="1">
        <v>0</v>
      </c>
      <c r="D29" s="1">
        <v>78</v>
      </c>
      <c r="E29" s="38">
        <f t="shared" si="0"/>
        <v>630</v>
      </c>
      <c r="F29" s="38">
        <f t="shared" si="1"/>
        <v>166.44649933949802</v>
      </c>
      <c r="I29" s="1">
        <v>0.75</v>
      </c>
      <c r="L29" s="1">
        <v>8</v>
      </c>
      <c r="O29" t="s">
        <v>44</v>
      </c>
    </row>
    <row r="30" spans="1:14" ht="15">
      <c r="A30" s="35">
        <v>39935</v>
      </c>
      <c r="B30" s="1">
        <v>8</v>
      </c>
      <c r="C30" s="1">
        <v>45</v>
      </c>
      <c r="D30" s="1">
        <v>56</v>
      </c>
      <c r="E30" s="38">
        <f t="shared" si="0"/>
        <v>544.37</v>
      </c>
      <c r="F30" s="38">
        <f t="shared" si="1"/>
        <v>143.8229854689564</v>
      </c>
      <c r="G30" s="38">
        <f>E29-E30</f>
        <v>85.63</v>
      </c>
      <c r="H30" s="38">
        <f>G30/$B$4</f>
        <v>22.62351387054161</v>
      </c>
      <c r="I30" s="1">
        <v>22.25</v>
      </c>
      <c r="J30" s="38">
        <f>(G30/I30)*24</f>
        <v>92.36494382022471</v>
      </c>
      <c r="K30" s="38">
        <f>J30/$B$4</f>
        <v>24.402891365977464</v>
      </c>
      <c r="L30" s="1">
        <v>8</v>
      </c>
      <c r="M30" s="38">
        <f>J30/L30</f>
        <v>11.545617977528089</v>
      </c>
      <c r="N30" s="38">
        <f>M30/$B$4</f>
        <v>3.050361420747183</v>
      </c>
    </row>
    <row r="31" spans="1:14" ht="15">
      <c r="A31" s="35">
        <v>39936</v>
      </c>
      <c r="B31" s="1">
        <v>8</v>
      </c>
      <c r="C31" s="1">
        <v>15</v>
      </c>
      <c r="D31" s="1">
        <v>44</v>
      </c>
      <c r="E31" s="38">
        <f t="shared" si="0"/>
        <v>412.61</v>
      </c>
      <c r="F31" s="38">
        <f t="shared" si="1"/>
        <v>109.01188903566711</v>
      </c>
      <c r="G31" s="38">
        <f>E30-E31</f>
        <v>131.76</v>
      </c>
      <c r="H31" s="38">
        <f>G31/$B$4</f>
        <v>34.81109643328929</v>
      </c>
      <c r="I31" s="1">
        <v>23.3</v>
      </c>
      <c r="J31" s="38">
        <f>(G31/I31)*24</f>
        <v>135.7184549356223</v>
      </c>
      <c r="K31" s="38">
        <f>J31/$B$4</f>
        <v>35.856923364761506</v>
      </c>
      <c r="L31" s="1">
        <v>7</v>
      </c>
      <c r="M31" s="38">
        <f>J31/L31</f>
        <v>19.3883507050889</v>
      </c>
      <c r="N31" s="38">
        <f>M31/$B$4</f>
        <v>5.122417623537358</v>
      </c>
    </row>
    <row r="32" ht="15">
      <c r="A32" s="1" t="s">
        <v>45</v>
      </c>
    </row>
    <row r="33" spans="1:15" ht="15">
      <c r="A33" s="35">
        <v>39943</v>
      </c>
      <c r="B33" s="1">
        <v>13</v>
      </c>
      <c r="C33" s="1">
        <v>45</v>
      </c>
      <c r="D33" s="1">
        <v>70</v>
      </c>
      <c r="E33" s="38">
        <f aca="true" t="shared" si="2" ref="E33:E62">IF(D33&lt;64,D33*$C$4+$D$4,630)</f>
        <v>630</v>
      </c>
      <c r="F33" s="38">
        <f aca="true" t="shared" si="3" ref="F33:F62">E33/$B$4</f>
        <v>166.44649933949802</v>
      </c>
      <c r="L33" s="1">
        <v>9</v>
      </c>
      <c r="O33" t="s">
        <v>46</v>
      </c>
    </row>
    <row r="34" spans="1:14" ht="15">
      <c r="A34" s="35">
        <v>39944</v>
      </c>
      <c r="B34" s="1">
        <v>8</v>
      </c>
      <c r="C34" s="1">
        <v>30</v>
      </c>
      <c r="D34" s="1">
        <v>56</v>
      </c>
      <c r="E34" s="38">
        <f t="shared" si="2"/>
        <v>544.37</v>
      </c>
      <c r="F34" s="38">
        <f t="shared" si="3"/>
        <v>143.8229854689564</v>
      </c>
      <c r="G34" s="38">
        <f>E33-E34</f>
        <v>85.63</v>
      </c>
      <c r="H34" s="38">
        <f>G34/$B$4</f>
        <v>22.62351387054161</v>
      </c>
      <c r="I34" s="1">
        <v>18.75</v>
      </c>
      <c r="J34" s="38">
        <f>(G34/I34)*24</f>
        <v>109.6064</v>
      </c>
      <c r="K34" s="38">
        <f>J34/$B$4</f>
        <v>28.95809775429326</v>
      </c>
      <c r="L34" s="1">
        <v>9</v>
      </c>
      <c r="M34" s="38">
        <f>J34/L34</f>
        <v>12.178488888888888</v>
      </c>
      <c r="N34" s="38">
        <f>M34/$B$4</f>
        <v>3.2175664171436953</v>
      </c>
    </row>
    <row r="35" spans="1:14" ht="15">
      <c r="A35" s="35">
        <v>39945</v>
      </c>
      <c r="B35" s="1">
        <v>8</v>
      </c>
      <c r="C35" s="1">
        <v>40</v>
      </c>
      <c r="D35" s="1">
        <v>46.5</v>
      </c>
      <c r="E35" s="38">
        <f t="shared" si="2"/>
        <v>440.06</v>
      </c>
      <c r="F35" s="38">
        <f t="shared" si="3"/>
        <v>116.26420079260238</v>
      </c>
      <c r="G35" s="38">
        <f>E34-E35</f>
        <v>104.31</v>
      </c>
      <c r="H35" s="38">
        <f>G35/$B$4</f>
        <v>27.55878467635403</v>
      </c>
      <c r="I35" s="1">
        <v>24.6</v>
      </c>
      <c r="J35" s="38">
        <f>(G35/I35)*24</f>
        <v>101.76585365853659</v>
      </c>
      <c r="K35" s="38">
        <f>J35/$B$4</f>
        <v>26.886619196442954</v>
      </c>
      <c r="L35" s="1">
        <v>9</v>
      </c>
      <c r="M35" s="38">
        <f>J35/L35</f>
        <v>11.307317073170731</v>
      </c>
      <c r="N35" s="38">
        <f>M35/$B$4</f>
        <v>2.9874021329381057</v>
      </c>
    </row>
    <row r="36" spans="1:14" ht="15">
      <c r="A36" s="35">
        <v>39946</v>
      </c>
      <c r="B36" s="1">
        <v>8</v>
      </c>
      <c r="C36" s="1">
        <v>30</v>
      </c>
      <c r="D36" s="1">
        <v>36</v>
      </c>
      <c r="E36" s="38">
        <f t="shared" si="2"/>
        <v>324.77000000000004</v>
      </c>
      <c r="F36" s="38">
        <f t="shared" si="3"/>
        <v>85.80449141347425</v>
      </c>
      <c r="G36" s="38">
        <f>E35-E36</f>
        <v>115.28999999999996</v>
      </c>
      <c r="H36" s="38">
        <f>G36/$B$4</f>
        <v>30.459709379128128</v>
      </c>
      <c r="I36" s="1">
        <v>24</v>
      </c>
      <c r="J36" s="38">
        <f>(G36/I36)*24</f>
        <v>115.28999999999996</v>
      </c>
      <c r="K36" s="38">
        <f>J36/$B$4</f>
        <v>30.459709379128128</v>
      </c>
      <c r="L36" s="1">
        <v>8.5</v>
      </c>
      <c r="M36" s="38">
        <f>J36/L36</f>
        <v>13.563529411764701</v>
      </c>
      <c r="N36" s="38">
        <f>M36/$B$4</f>
        <v>3.583495221073897</v>
      </c>
    </row>
    <row r="37" spans="1:14" ht="15">
      <c r="A37" s="35">
        <v>39946</v>
      </c>
      <c r="B37" s="1">
        <v>11</v>
      </c>
      <c r="C37" s="1">
        <v>15</v>
      </c>
      <c r="D37" s="1">
        <v>35</v>
      </c>
      <c r="E37" s="38">
        <f t="shared" si="2"/>
        <v>313.79</v>
      </c>
      <c r="F37" s="38">
        <f t="shared" si="3"/>
        <v>82.90356671070013</v>
      </c>
      <c r="G37" s="38">
        <f>E36-E37</f>
        <v>10.980000000000018</v>
      </c>
      <c r="H37" s="38">
        <f>G37/$B$4</f>
        <v>2.900924702774113</v>
      </c>
      <c r="I37" s="1">
        <v>2.75</v>
      </c>
      <c r="J37" s="38">
        <f>(G37/I37)*24</f>
        <v>95.8254545454547</v>
      </c>
      <c r="K37" s="38">
        <f>J37/$B$4</f>
        <v>25.31716104239226</v>
      </c>
      <c r="L37" s="1">
        <v>8</v>
      </c>
      <c r="M37" s="38">
        <f>J37/L37</f>
        <v>11.978181818181838</v>
      </c>
      <c r="N37" s="38">
        <f>M37/$B$4</f>
        <v>3.1646451302990326</v>
      </c>
    </row>
    <row r="38" spans="1:15" ht="15">
      <c r="A38" s="35">
        <v>39946</v>
      </c>
      <c r="B38" s="1">
        <v>11</v>
      </c>
      <c r="C38" s="1">
        <v>15</v>
      </c>
      <c r="D38" s="1">
        <v>70</v>
      </c>
      <c r="E38" s="38">
        <f t="shared" si="2"/>
        <v>630</v>
      </c>
      <c r="F38" s="38">
        <f t="shared" si="3"/>
        <v>166.44649933949802</v>
      </c>
      <c r="O38" t="s">
        <v>47</v>
      </c>
    </row>
    <row r="39" spans="1:14" ht="15">
      <c r="A39" s="35">
        <v>39947</v>
      </c>
      <c r="B39" s="1">
        <v>8</v>
      </c>
      <c r="C39" s="1">
        <v>35</v>
      </c>
      <c r="D39" s="1">
        <v>57</v>
      </c>
      <c r="E39" s="38">
        <f t="shared" si="2"/>
        <v>555.35</v>
      </c>
      <c r="F39" s="38">
        <f t="shared" si="3"/>
        <v>146.72391017173052</v>
      </c>
      <c r="G39" s="38">
        <f>E38-E39</f>
        <v>74.64999999999998</v>
      </c>
      <c r="H39" s="38">
        <f>G39/$B$4</f>
        <v>19.722589167767495</v>
      </c>
      <c r="I39" s="1">
        <v>21.3</v>
      </c>
      <c r="J39" s="38">
        <f>(G39/I39)*24</f>
        <v>84.112676056338</v>
      </c>
      <c r="K39" s="38">
        <f>J39/$B$4</f>
        <v>22.222635681991544</v>
      </c>
      <c r="L39" s="1">
        <v>8</v>
      </c>
      <c r="M39" s="38">
        <f>J39/L39</f>
        <v>10.51408450704225</v>
      </c>
      <c r="N39" s="38">
        <f>M39/$B$4</f>
        <v>2.777829460248943</v>
      </c>
    </row>
    <row r="40" spans="1:14" ht="15">
      <c r="A40" s="35">
        <v>39948</v>
      </c>
      <c r="B40" s="1">
        <v>8</v>
      </c>
      <c r="C40" s="1">
        <v>35</v>
      </c>
      <c r="D40" s="1">
        <v>49</v>
      </c>
      <c r="E40" s="38">
        <f t="shared" si="2"/>
        <v>467.51</v>
      </c>
      <c r="F40" s="38">
        <f t="shared" si="3"/>
        <v>123.51651254953764</v>
      </c>
      <c r="G40" s="38">
        <f>E39-E40</f>
        <v>87.84000000000003</v>
      </c>
      <c r="H40" s="38">
        <f>G40/$B$4</f>
        <v>23.207397622192875</v>
      </c>
      <c r="I40" s="1">
        <v>24</v>
      </c>
      <c r="J40" s="38">
        <f>(G40/I40)*24</f>
        <v>87.84000000000003</v>
      </c>
      <c r="K40" s="38">
        <f>J40/$B$4</f>
        <v>23.207397622192875</v>
      </c>
      <c r="L40" s="1">
        <v>8</v>
      </c>
      <c r="M40" s="38">
        <f>J40/L40</f>
        <v>10.980000000000004</v>
      </c>
      <c r="N40" s="38">
        <f>M40/$B$4</f>
        <v>2.9009247027741094</v>
      </c>
    </row>
    <row r="41" spans="1:14" ht="15">
      <c r="A41" s="35">
        <v>39949</v>
      </c>
      <c r="B41" s="1">
        <v>8</v>
      </c>
      <c r="C41" s="1">
        <v>35</v>
      </c>
      <c r="D41" s="1">
        <v>40</v>
      </c>
      <c r="E41" s="38">
        <f t="shared" si="2"/>
        <v>368.69000000000005</v>
      </c>
      <c r="F41" s="38">
        <f t="shared" si="3"/>
        <v>97.40819022457069</v>
      </c>
      <c r="G41" s="38">
        <f>E40-E41</f>
        <v>98.81999999999994</v>
      </c>
      <c r="H41" s="38">
        <f>G41/$B$4</f>
        <v>26.108322324966956</v>
      </c>
      <c r="I41" s="1">
        <v>24</v>
      </c>
      <c r="J41" s="38">
        <f>(G41/I41)*24</f>
        <v>98.81999999999994</v>
      </c>
      <c r="K41" s="38">
        <f>J41/$B$4</f>
        <v>26.108322324966956</v>
      </c>
      <c r="L41" s="1">
        <v>8</v>
      </c>
      <c r="M41" s="38">
        <f>J41/L41</f>
        <v>12.352499999999992</v>
      </c>
      <c r="N41" s="38">
        <f>M41/$B$4</f>
        <v>3.2635402906208695</v>
      </c>
    </row>
    <row r="42" spans="1:15" ht="15">
      <c r="A42" s="35">
        <v>39949</v>
      </c>
      <c r="B42" s="1">
        <v>9</v>
      </c>
      <c r="C42" s="1">
        <v>30</v>
      </c>
      <c r="D42" s="1">
        <v>70</v>
      </c>
      <c r="E42" s="38">
        <f t="shared" si="2"/>
        <v>630</v>
      </c>
      <c r="F42" s="38">
        <f t="shared" si="3"/>
        <v>166.44649933949802</v>
      </c>
      <c r="O42" t="s">
        <v>41</v>
      </c>
    </row>
    <row r="43" spans="1:14" ht="15">
      <c r="A43" s="35">
        <v>39950</v>
      </c>
      <c r="B43" s="1">
        <v>8</v>
      </c>
      <c r="C43" s="1">
        <v>30</v>
      </c>
      <c r="D43" s="1">
        <v>60</v>
      </c>
      <c r="E43" s="38">
        <f t="shared" si="2"/>
        <v>588.2900000000001</v>
      </c>
      <c r="F43" s="38">
        <f t="shared" si="3"/>
        <v>155.42668428005285</v>
      </c>
      <c r="G43" s="38">
        <f>E42-E43</f>
        <v>41.70999999999992</v>
      </c>
      <c r="H43" s="38">
        <f>G43/$B$4</f>
        <v>11.019815059445158</v>
      </c>
      <c r="I43" s="1">
        <v>23</v>
      </c>
      <c r="J43" s="38">
        <f>(G43/I43)*24</f>
        <v>43.52347826086948</v>
      </c>
      <c r="K43" s="38">
        <f>J43/$B$4</f>
        <v>11.498937453334076</v>
      </c>
      <c r="L43" s="1">
        <v>6</v>
      </c>
      <c r="M43" s="38">
        <f>J43/L43</f>
        <v>7.253913043478247</v>
      </c>
      <c r="N43" s="38">
        <f>M43/$B$4</f>
        <v>1.9164895755556794</v>
      </c>
    </row>
    <row r="44" spans="1:14" ht="15">
      <c r="A44" s="35">
        <v>39951</v>
      </c>
      <c r="B44" s="1">
        <v>8</v>
      </c>
      <c r="C44" s="1">
        <v>15</v>
      </c>
      <c r="D44" s="1">
        <v>53</v>
      </c>
      <c r="E44" s="38">
        <f t="shared" si="2"/>
        <v>511.43000000000006</v>
      </c>
      <c r="F44" s="38">
        <f t="shared" si="3"/>
        <v>135.1202113606341</v>
      </c>
      <c r="G44" s="38">
        <f>E43-E44</f>
        <v>76.86000000000001</v>
      </c>
      <c r="H44" s="38">
        <f>G44/$B$4</f>
        <v>20.306472919418763</v>
      </c>
      <c r="I44" s="1">
        <v>23.75</v>
      </c>
      <c r="J44" s="38">
        <f>(G44/I44)*24</f>
        <v>77.66905263157895</v>
      </c>
      <c r="K44" s="38">
        <f>J44/$B$4</f>
        <v>20.520225265938954</v>
      </c>
      <c r="L44" s="1">
        <v>7</v>
      </c>
      <c r="M44" s="38">
        <f>J44/L44</f>
        <v>11.095578947368422</v>
      </c>
      <c r="N44" s="38">
        <f>M44/$B$4</f>
        <v>2.9314607522769935</v>
      </c>
    </row>
    <row r="45" spans="1:14" ht="15">
      <c r="A45" s="35">
        <v>39952</v>
      </c>
      <c r="B45" s="1">
        <v>8</v>
      </c>
      <c r="C45" s="1">
        <v>35</v>
      </c>
      <c r="D45" s="1">
        <v>46</v>
      </c>
      <c r="E45" s="38">
        <f t="shared" si="2"/>
        <v>434.57000000000005</v>
      </c>
      <c r="F45" s="38">
        <f t="shared" si="3"/>
        <v>114.81373844121534</v>
      </c>
      <c r="G45" s="38">
        <f>E44-E45</f>
        <v>76.86000000000001</v>
      </c>
      <c r="H45" s="38">
        <f>G45/$B$4</f>
        <v>20.306472919418763</v>
      </c>
      <c r="I45" s="1">
        <v>24.25</v>
      </c>
      <c r="J45" s="38">
        <f>(G45/I45)*24</f>
        <v>76.06762886597939</v>
      </c>
      <c r="K45" s="38">
        <f>J45/$B$4</f>
        <v>20.09712783777527</v>
      </c>
      <c r="L45" s="1">
        <v>7</v>
      </c>
      <c r="M45" s="38">
        <f>J45/L45</f>
        <v>10.866804123711342</v>
      </c>
      <c r="N45" s="38">
        <f>M45/$B$4</f>
        <v>2.871018262539324</v>
      </c>
    </row>
    <row r="46" spans="1:14" ht="15">
      <c r="A46" s="35">
        <v>39952</v>
      </c>
      <c r="B46" s="1">
        <v>20</v>
      </c>
      <c r="C46" s="1">
        <v>0</v>
      </c>
      <c r="D46" s="1">
        <v>43.5</v>
      </c>
      <c r="E46" s="38">
        <f t="shared" si="2"/>
        <v>407.12</v>
      </c>
      <c r="F46" s="38">
        <f t="shared" si="3"/>
        <v>107.56142668428005</v>
      </c>
      <c r="G46" s="38">
        <f>E45-E46</f>
        <v>27.450000000000045</v>
      </c>
      <c r="H46" s="38">
        <f>G46/$B$4</f>
        <v>7.252311756935282</v>
      </c>
      <c r="I46" s="1">
        <v>11.4</v>
      </c>
      <c r="J46" s="38">
        <f>(G46/I46)*24</f>
        <v>57.78947368421062</v>
      </c>
      <c r="K46" s="38">
        <f>J46/$B$4</f>
        <v>15.268024751442699</v>
      </c>
      <c r="L46" s="1">
        <v>7</v>
      </c>
      <c r="M46" s="38">
        <f>J46/L46</f>
        <v>8.255639097744375</v>
      </c>
      <c r="N46" s="38">
        <f>M46/$B$4</f>
        <v>2.181146393063243</v>
      </c>
    </row>
    <row r="47" spans="1:15" ht="15">
      <c r="A47" s="35">
        <v>39952</v>
      </c>
      <c r="B47" s="1">
        <v>20</v>
      </c>
      <c r="C47" s="1">
        <v>0</v>
      </c>
      <c r="D47" s="1">
        <v>70</v>
      </c>
      <c r="E47" s="38">
        <f t="shared" si="2"/>
        <v>630</v>
      </c>
      <c r="F47" s="38">
        <f t="shared" si="3"/>
        <v>166.44649933949802</v>
      </c>
      <c r="O47" t="s">
        <v>40</v>
      </c>
    </row>
    <row r="48" spans="1:14" ht="15">
      <c r="A48" s="35">
        <v>39953</v>
      </c>
      <c r="B48" s="1">
        <v>8</v>
      </c>
      <c r="C48" s="1">
        <v>35</v>
      </c>
      <c r="D48" s="1">
        <v>60</v>
      </c>
      <c r="E48" s="38">
        <f t="shared" si="2"/>
        <v>588.2900000000001</v>
      </c>
      <c r="F48" s="38">
        <f t="shared" si="3"/>
        <v>155.42668428005285</v>
      </c>
      <c r="G48" s="38">
        <f>E47-E48</f>
        <v>41.70999999999992</v>
      </c>
      <c r="H48" s="38">
        <f>G48/$B$4</f>
        <v>11.019815059445158</v>
      </c>
      <c r="I48" s="1">
        <v>11.4</v>
      </c>
      <c r="J48" s="38">
        <f>(G48/I48)*24</f>
        <v>87.8105263157893</v>
      </c>
      <c r="K48" s="38">
        <f>J48/$B$4</f>
        <v>23.199610651463487</v>
      </c>
      <c r="L48" s="1">
        <v>7</v>
      </c>
      <c r="M48" s="38">
        <f>J48/L48</f>
        <v>12.544360902255615</v>
      </c>
      <c r="N48" s="38">
        <f>M48/$B$4</f>
        <v>3.3142300930662127</v>
      </c>
    </row>
    <row r="49" spans="1:14" ht="15">
      <c r="A49" s="35">
        <v>39954</v>
      </c>
      <c r="B49" s="1">
        <v>9</v>
      </c>
      <c r="C49" s="1">
        <v>40</v>
      </c>
      <c r="D49" s="1">
        <v>51</v>
      </c>
      <c r="E49" s="38">
        <f t="shared" si="2"/>
        <v>489.47</v>
      </c>
      <c r="F49" s="38">
        <f t="shared" si="3"/>
        <v>129.31836195508586</v>
      </c>
      <c r="G49" s="38">
        <f>E48-E49</f>
        <v>98.82000000000005</v>
      </c>
      <c r="H49" s="38">
        <f>G49/$B$4</f>
        <v>26.108322324966988</v>
      </c>
      <c r="I49" s="1">
        <v>25.25</v>
      </c>
      <c r="J49" s="38">
        <f>(G49/I49)*24</f>
        <v>93.92792079207926</v>
      </c>
      <c r="K49" s="38">
        <f>J49/$B$4</f>
        <v>24.815831120760702</v>
      </c>
      <c r="L49" s="1">
        <v>7</v>
      </c>
      <c r="M49" s="38">
        <f>J49/L49</f>
        <v>13.418274398868466</v>
      </c>
      <c r="N49" s="38">
        <f>M49/$B$4</f>
        <v>3.545118731537243</v>
      </c>
    </row>
    <row r="50" spans="1:14" ht="15">
      <c r="A50" s="35">
        <v>39955</v>
      </c>
      <c r="B50" s="1">
        <v>8</v>
      </c>
      <c r="C50" s="1">
        <v>40</v>
      </c>
      <c r="D50" s="1">
        <v>43</v>
      </c>
      <c r="E50" s="38">
        <f t="shared" si="2"/>
        <v>401.63000000000005</v>
      </c>
      <c r="F50" s="38">
        <f t="shared" si="3"/>
        <v>106.110964332893</v>
      </c>
      <c r="G50" s="38">
        <f>E49-E50</f>
        <v>87.83999999999997</v>
      </c>
      <c r="H50" s="38">
        <f>G50/$B$4</f>
        <v>23.207397622192858</v>
      </c>
      <c r="I50" s="1">
        <v>23</v>
      </c>
      <c r="J50" s="38">
        <f>(G50/I50)*24</f>
        <v>91.65913043478258</v>
      </c>
      <c r="K50" s="38">
        <f>J50/$B$4</f>
        <v>24.21641491011429</v>
      </c>
      <c r="L50" s="1">
        <v>7</v>
      </c>
      <c r="M50" s="38">
        <f>(J50/L50)</f>
        <v>13.094161490683225</v>
      </c>
      <c r="N50" s="38">
        <f>M50/$B$4</f>
        <v>3.459487844302041</v>
      </c>
    </row>
    <row r="51" spans="1:15" ht="15">
      <c r="A51" s="35">
        <v>39955</v>
      </c>
      <c r="B51" s="1">
        <v>18</v>
      </c>
      <c r="C51" s="1">
        <v>40</v>
      </c>
      <c r="D51" s="1">
        <v>40</v>
      </c>
      <c r="E51" s="38">
        <f t="shared" si="2"/>
        <v>368.69000000000005</v>
      </c>
      <c r="F51" s="38">
        <f t="shared" si="3"/>
        <v>97.40819022457069</v>
      </c>
      <c r="G51" s="38">
        <f>E50-E51</f>
        <v>32.94</v>
      </c>
      <c r="H51" s="38">
        <f>G51/$B$4</f>
        <v>8.702774108322323</v>
      </c>
      <c r="I51" s="1">
        <v>10</v>
      </c>
      <c r="J51" s="38">
        <f>(G51/I51)*24</f>
        <v>79.05599999999998</v>
      </c>
      <c r="K51" s="38">
        <f>J51/$B$4</f>
        <v>20.886657859973575</v>
      </c>
      <c r="L51" s="1">
        <v>7</v>
      </c>
      <c r="M51" s="38">
        <f>(J51/L51)</f>
        <v>11.293714285714284</v>
      </c>
      <c r="N51" s="38">
        <f>M51/$B$4</f>
        <v>2.9838082657105107</v>
      </c>
      <c r="O51" t="s">
        <v>48</v>
      </c>
    </row>
    <row r="52" spans="1:15" ht="15">
      <c r="A52" s="35">
        <v>39955</v>
      </c>
      <c r="B52" s="1">
        <v>18</v>
      </c>
      <c r="C52" s="1">
        <v>40</v>
      </c>
      <c r="D52" s="1">
        <v>64</v>
      </c>
      <c r="E52" s="38">
        <f t="shared" si="2"/>
        <v>630</v>
      </c>
      <c r="F52" s="38">
        <f t="shared" si="3"/>
        <v>166.44649933949802</v>
      </c>
      <c r="G52" s="38"/>
      <c r="H52" s="38"/>
      <c r="J52" s="38"/>
      <c r="K52" s="38"/>
      <c r="M52" s="38"/>
      <c r="N52" s="38"/>
      <c r="O52" t="s">
        <v>40</v>
      </c>
    </row>
    <row r="53" spans="1:14" ht="15">
      <c r="A53" s="35">
        <v>39956</v>
      </c>
      <c r="B53" s="1">
        <v>8</v>
      </c>
      <c r="C53" s="1">
        <v>30</v>
      </c>
      <c r="D53" s="1">
        <v>60</v>
      </c>
      <c r="E53" s="38">
        <f t="shared" si="2"/>
        <v>588.2900000000001</v>
      </c>
      <c r="F53" s="38">
        <f t="shared" si="3"/>
        <v>155.42668428005285</v>
      </c>
      <c r="G53" s="38">
        <f>E52-E53</f>
        <v>41.70999999999992</v>
      </c>
      <c r="H53" s="38">
        <f>G53/$B$4</f>
        <v>11.019815059445158</v>
      </c>
      <c r="I53" s="1">
        <v>14.9</v>
      </c>
      <c r="J53" s="38">
        <f>(G53/I53)*24</f>
        <v>67.18389261744954</v>
      </c>
      <c r="K53" s="38">
        <f>J53/$B$4</f>
        <v>17.750037679643206</v>
      </c>
      <c r="L53" s="1">
        <v>7</v>
      </c>
      <c r="M53" s="38">
        <f>(J53/L53)</f>
        <v>9.597698945349935</v>
      </c>
      <c r="N53" s="38">
        <f>M53/$B$4</f>
        <v>2.5357196685204584</v>
      </c>
    </row>
    <row r="54" spans="1:14" ht="15">
      <c r="A54" s="35">
        <v>39957</v>
      </c>
      <c r="B54" s="1">
        <v>8</v>
      </c>
      <c r="C54" s="1">
        <v>30</v>
      </c>
      <c r="D54" s="1">
        <v>54</v>
      </c>
      <c r="E54" s="38">
        <f t="shared" si="2"/>
        <v>522.4100000000001</v>
      </c>
      <c r="F54" s="38">
        <f t="shared" si="3"/>
        <v>138.0211360634082</v>
      </c>
      <c r="G54" s="38">
        <f>E53-E54</f>
        <v>65.88</v>
      </c>
      <c r="H54" s="38">
        <f>G54/$B$4</f>
        <v>17.405548216644647</v>
      </c>
      <c r="I54" s="1">
        <v>24</v>
      </c>
      <c r="J54" s="38">
        <f>(G54/I54)*24</f>
        <v>65.88</v>
      </c>
      <c r="K54" s="38">
        <f>J54/$B$4</f>
        <v>17.405548216644647</v>
      </c>
      <c r="L54" s="1">
        <v>7</v>
      </c>
      <c r="M54" s="38">
        <f>(J54/L54)</f>
        <v>9.411428571428571</v>
      </c>
      <c r="N54" s="38">
        <f>M54/$B$4</f>
        <v>2.4865068880920926</v>
      </c>
    </row>
    <row r="55" spans="1:14" ht="15">
      <c r="A55" s="35">
        <v>39958</v>
      </c>
      <c r="B55" s="41">
        <v>8</v>
      </c>
      <c r="C55" s="1">
        <v>35</v>
      </c>
      <c r="D55" s="1">
        <v>45</v>
      </c>
      <c r="E55" s="38">
        <f t="shared" si="2"/>
        <v>423.59000000000003</v>
      </c>
      <c r="F55" s="38">
        <f t="shared" si="3"/>
        <v>111.91281373844122</v>
      </c>
      <c r="G55" s="38">
        <f>E54-E55</f>
        <v>98.82000000000005</v>
      </c>
      <c r="H55" s="38">
        <f>G55/$B$4</f>
        <v>26.108322324966988</v>
      </c>
      <c r="I55" s="1">
        <v>24.1</v>
      </c>
      <c r="J55" s="38">
        <f>(G55/I55)*24</f>
        <v>98.4099585062241</v>
      </c>
      <c r="K55" s="38">
        <f>J55/$B$4</f>
        <v>25.99998903731152</v>
      </c>
      <c r="L55" s="1">
        <v>7</v>
      </c>
      <c r="M55" s="38">
        <f>(J55/L55)</f>
        <v>14.058565500889157</v>
      </c>
      <c r="N55" s="38">
        <f>M55/$B$4</f>
        <v>3.71428414818736</v>
      </c>
    </row>
    <row r="56" spans="1:15" ht="15">
      <c r="A56" s="35">
        <v>39958</v>
      </c>
      <c r="B56" s="1">
        <v>4</v>
      </c>
      <c r="C56" s="1">
        <v>10</v>
      </c>
      <c r="D56" s="1">
        <v>43.5</v>
      </c>
      <c r="E56" s="38">
        <f t="shared" si="2"/>
        <v>407.12</v>
      </c>
      <c r="F56" s="38">
        <f t="shared" si="3"/>
        <v>107.56142668428005</v>
      </c>
      <c r="G56" s="38">
        <f>E55-E56</f>
        <v>16.470000000000027</v>
      </c>
      <c r="H56" s="38">
        <f>G56/$B$4</f>
        <v>4.35138705416117</v>
      </c>
      <c r="I56" s="1">
        <v>7.4</v>
      </c>
      <c r="J56" s="38">
        <f>(G56/I56)*24</f>
        <v>53.4162162162163</v>
      </c>
      <c r="K56" s="38">
        <f>J56/$B$4</f>
        <v>14.112606662144332</v>
      </c>
      <c r="L56" s="1">
        <v>7</v>
      </c>
      <c r="M56" s="38">
        <f>(J56/L56)</f>
        <v>7.630888030888043</v>
      </c>
      <c r="N56" s="38">
        <f>M56/$B$4</f>
        <v>2.0160866660206187</v>
      </c>
      <c r="O56" t="s">
        <v>48</v>
      </c>
    </row>
    <row r="57" spans="1:15" ht="15">
      <c r="A57" s="35">
        <v>39958</v>
      </c>
      <c r="B57" s="41">
        <v>5</v>
      </c>
      <c r="C57" s="1">
        <v>0</v>
      </c>
      <c r="D57" s="1">
        <v>64</v>
      </c>
      <c r="E57" s="38">
        <f t="shared" si="2"/>
        <v>630</v>
      </c>
      <c r="F57" s="38">
        <f t="shared" si="3"/>
        <v>166.44649933949802</v>
      </c>
      <c r="G57" s="38"/>
      <c r="H57" s="38"/>
      <c r="J57" s="38"/>
      <c r="K57" s="38"/>
      <c r="L57" s="1">
        <v>7</v>
      </c>
      <c r="O57" t="s">
        <v>40</v>
      </c>
    </row>
    <row r="58" spans="1:14" ht="15">
      <c r="A58" s="35">
        <v>39959</v>
      </c>
      <c r="B58" s="1">
        <v>8</v>
      </c>
      <c r="C58" s="1">
        <v>35</v>
      </c>
      <c r="D58" s="1">
        <v>58</v>
      </c>
      <c r="E58" s="38">
        <f t="shared" si="2"/>
        <v>566.33</v>
      </c>
      <c r="F58" s="38">
        <f t="shared" si="3"/>
        <v>149.62483487450464</v>
      </c>
      <c r="G58" s="38">
        <f>E57-E58</f>
        <v>63.66999999999996</v>
      </c>
      <c r="H58" s="38">
        <f>G58/$B$4</f>
        <v>16.821664464993383</v>
      </c>
      <c r="I58" s="1">
        <v>15.5</v>
      </c>
      <c r="J58" s="38">
        <f>(G58/I58)*24</f>
        <v>98.58580645161283</v>
      </c>
      <c r="K58" s="38">
        <f>J58/$B$4</f>
        <v>26.04644820386072</v>
      </c>
      <c r="L58" s="1">
        <v>7</v>
      </c>
      <c r="M58" s="38">
        <f>(J58/L58)</f>
        <v>14.083686635944689</v>
      </c>
      <c r="N58" s="38">
        <f>M58/$B$4</f>
        <v>3.7209211719801027</v>
      </c>
    </row>
    <row r="59" spans="1:14" ht="15">
      <c r="A59" s="35">
        <v>39960</v>
      </c>
      <c r="B59" s="1">
        <v>8</v>
      </c>
      <c r="C59" s="1">
        <v>30</v>
      </c>
      <c r="D59" s="1">
        <v>49</v>
      </c>
      <c r="E59" s="38">
        <f t="shared" si="2"/>
        <v>467.51</v>
      </c>
      <c r="F59" s="38">
        <f t="shared" si="3"/>
        <v>123.51651254953764</v>
      </c>
      <c r="G59" s="38">
        <f>E58-E59</f>
        <v>98.82000000000005</v>
      </c>
      <c r="H59" s="38">
        <f>G59/$B$4</f>
        <v>26.108322324966988</v>
      </c>
      <c r="I59" s="1">
        <v>24</v>
      </c>
      <c r="J59" s="38">
        <f>(G59/I59)*24</f>
        <v>98.82000000000005</v>
      </c>
      <c r="K59" s="38">
        <f>J59/$B$4</f>
        <v>26.108322324966988</v>
      </c>
      <c r="L59" s="1">
        <v>7</v>
      </c>
      <c r="M59" s="38">
        <f>(J59/L59)</f>
        <v>14.117142857142865</v>
      </c>
      <c r="N59" s="38">
        <f>M59/$B$4</f>
        <v>3.729760332138141</v>
      </c>
    </row>
    <row r="60" spans="1:14" ht="15">
      <c r="A60" s="35">
        <v>39960</v>
      </c>
      <c r="B60" s="1">
        <v>17</v>
      </c>
      <c r="C60" s="1">
        <v>30</v>
      </c>
      <c r="D60" s="1">
        <v>44</v>
      </c>
      <c r="E60" s="38">
        <f t="shared" si="2"/>
        <v>412.61</v>
      </c>
      <c r="F60" s="38">
        <f t="shared" si="3"/>
        <v>109.01188903566711</v>
      </c>
      <c r="G60" s="38">
        <f>E59-E60</f>
        <v>54.89999999999998</v>
      </c>
      <c r="H60" s="38">
        <f>G60/$B$4</f>
        <v>14.504623513870536</v>
      </c>
      <c r="I60" s="1">
        <v>9</v>
      </c>
      <c r="J60" s="38">
        <f>(G60/I60)*24</f>
        <v>146.39999999999995</v>
      </c>
      <c r="K60" s="38">
        <f>J60/$B$4</f>
        <v>38.678996036988096</v>
      </c>
      <c r="L60" s="1">
        <v>8</v>
      </c>
      <c r="M60" s="38">
        <f>(J60/L60)</f>
        <v>18.299999999999994</v>
      </c>
      <c r="N60" s="38">
        <f>M60/$B$4</f>
        <v>4.834874504623512</v>
      </c>
    </row>
    <row r="61" spans="1:15" ht="15">
      <c r="A61" s="35">
        <v>39960</v>
      </c>
      <c r="B61" s="1">
        <v>17</v>
      </c>
      <c r="C61" s="1">
        <v>30</v>
      </c>
      <c r="D61" s="1">
        <v>64</v>
      </c>
      <c r="E61" s="38">
        <f t="shared" si="2"/>
        <v>630</v>
      </c>
      <c r="F61" s="38">
        <f t="shared" si="3"/>
        <v>166.44649933949802</v>
      </c>
      <c r="O61" t="s">
        <v>40</v>
      </c>
    </row>
    <row r="62" spans="1:12" ht="15">
      <c r="A62" s="35">
        <v>39961</v>
      </c>
      <c r="B62" s="1">
        <v>8</v>
      </c>
      <c r="C62" s="1">
        <v>15</v>
      </c>
      <c r="D62" s="1">
        <v>58</v>
      </c>
      <c r="E62" s="38">
        <f t="shared" si="2"/>
        <v>566.33</v>
      </c>
      <c r="F62" s="38">
        <f t="shared" si="3"/>
        <v>149.62483487450464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49</v>
      </c>
      <c r="E63" s="38">
        <f>IF(D63&lt;64,D63*$C$4+$D$4,630)</f>
        <v>467.51</v>
      </c>
      <c r="F63" s="38">
        <f>E63/$B$4</f>
        <v>123.51651254953764</v>
      </c>
      <c r="G63" s="38">
        <f>E62-E63</f>
        <v>98.82000000000005</v>
      </c>
      <c r="H63" s="38">
        <f>G63/$B$4</f>
        <v>26.108322324966988</v>
      </c>
      <c r="I63" s="1">
        <v>23.8</v>
      </c>
      <c r="J63" s="38">
        <f>(G63/I63)*24</f>
        <v>99.65042016806728</v>
      </c>
      <c r="K63" s="38">
        <f>J63/$B$4</f>
        <v>26.32771999156335</v>
      </c>
      <c r="L63" s="1">
        <v>12</v>
      </c>
      <c r="M63" s="38">
        <f>(J63/L63)</f>
        <v>8.304201680672273</v>
      </c>
      <c r="N63" s="38">
        <f>M63/$B$4</f>
        <v>2.1939766659636124</v>
      </c>
    </row>
    <row r="64" spans="1:15" ht="15">
      <c r="A64" s="35">
        <v>39963</v>
      </c>
      <c r="B64" s="1">
        <v>8</v>
      </c>
      <c r="C64" s="1">
        <v>35</v>
      </c>
      <c r="D64" s="1">
        <v>41</v>
      </c>
      <c r="E64" s="38">
        <f>IF(D64&lt;64,D64*$C$4+$D$4,630)</f>
        <v>379.67</v>
      </c>
      <c r="F64" s="38">
        <f>E64/$B$4</f>
        <v>100.30911492734478</v>
      </c>
      <c r="G64" s="38">
        <f>E63-E64</f>
        <v>87.83999999999997</v>
      </c>
      <c r="H64" s="38">
        <f>G64/$B$4</f>
        <v>23.207397622192858</v>
      </c>
      <c r="I64" s="1">
        <v>24</v>
      </c>
      <c r="J64" s="38">
        <f>(G64/I64)*24</f>
        <v>87.83999999999997</v>
      </c>
      <c r="K64" s="38">
        <f>J64/$B$4</f>
        <v>23.207397622192858</v>
      </c>
      <c r="L64" s="1">
        <v>7</v>
      </c>
      <c r="M64" s="38">
        <f>(J64/L64)</f>
        <v>12.548571428571424</v>
      </c>
      <c r="N64" s="38">
        <f>M64/$B$4</f>
        <v>3.3153425174561226</v>
      </c>
      <c r="O64" t="s">
        <v>49</v>
      </c>
    </row>
    <row r="65" spans="1:14" ht="15">
      <c r="A65" s="35">
        <v>39964</v>
      </c>
      <c r="B65" s="1">
        <v>8</v>
      </c>
      <c r="C65" s="1">
        <v>40</v>
      </c>
      <c r="D65" s="1">
        <v>33</v>
      </c>
      <c r="E65" s="38">
        <f>IF(D65&lt;64,D65*$C$4+$D$4,630)</f>
        <v>291.83000000000004</v>
      </c>
      <c r="F65" s="38">
        <f>E65/$B$4</f>
        <v>77.10171730515192</v>
      </c>
      <c r="G65" s="38">
        <f>E64-E65</f>
        <v>87.83999999999997</v>
      </c>
      <c r="H65" s="38">
        <f>G65/$B$4</f>
        <v>23.207397622192858</v>
      </c>
      <c r="I65" s="1">
        <v>24</v>
      </c>
      <c r="J65" s="38">
        <f>(G65/I65)*24</f>
        <v>87.83999999999997</v>
      </c>
      <c r="K65" s="38">
        <f>J65/$B$4</f>
        <v>23.207397622192858</v>
      </c>
      <c r="L65" s="1">
        <v>7</v>
      </c>
      <c r="M65" s="38">
        <f>(J65/L65)</f>
        <v>12.548571428571424</v>
      </c>
      <c r="N65" s="38">
        <f>M65/$B$4</f>
        <v>3.3153425174561226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120" zoomScaleNormal="120" zoomScalePageLayoutView="0" workbookViewId="0" topLeftCell="A7">
      <pane ySplit="2" topLeftCell="A58" activePane="bottomLeft" state="frozen"/>
      <selection pane="topLeft" activeCell="H7" sqref="H7"/>
      <selection pane="bottomLeft" activeCell="A66" sqref="A66"/>
    </sheetView>
  </sheetViews>
  <sheetFormatPr defaultColWidth="11.8515625" defaultRowHeight="15"/>
  <cols>
    <col min="1" max="1" width="14.7109375" style="35" customWidth="1"/>
    <col min="2" max="3" width="5.8515625" style="1" customWidth="1"/>
    <col min="4" max="4" width="12.7109375" style="1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57421875" style="1" customWidth="1"/>
    <col min="13" max="14" width="9.28125" style="0" customWidth="1"/>
    <col min="15" max="15" width="21.8515625" style="0" customWidth="1"/>
  </cols>
  <sheetData>
    <row r="1" spans="1:14" ht="15">
      <c r="A1" s="2" t="s">
        <v>50</v>
      </c>
      <c r="B1" s="2"/>
      <c r="C1" s="2"/>
      <c r="D1" s="3"/>
      <c r="H1" s="4" t="s">
        <v>1</v>
      </c>
      <c r="I1" s="5"/>
      <c r="J1" s="5"/>
      <c r="K1" s="5"/>
      <c r="L1" s="5"/>
      <c r="M1" s="5"/>
      <c r="N1" s="5"/>
    </row>
    <row r="2" spans="1:14" ht="15">
      <c r="A2"/>
      <c r="B2"/>
      <c r="C2"/>
      <c r="D2" s="6"/>
      <c r="H2" s="5" t="s">
        <v>3</v>
      </c>
      <c r="I2" s="5"/>
      <c r="J2" s="5"/>
      <c r="K2" s="5"/>
      <c r="L2" s="5"/>
      <c r="M2" s="5"/>
      <c r="N2" s="5"/>
    </row>
    <row r="3" spans="1:14" ht="30">
      <c r="A3"/>
      <c r="B3"/>
      <c r="C3"/>
      <c r="D3" s="8" t="s">
        <v>4</v>
      </c>
      <c r="E3" s="9" t="s">
        <v>5</v>
      </c>
      <c r="F3" s="9" t="s">
        <v>6</v>
      </c>
      <c r="G3" s="11"/>
      <c r="H3" s="5" t="s">
        <v>12</v>
      </c>
      <c r="I3" s="5"/>
      <c r="J3" s="5"/>
      <c r="K3" s="5"/>
      <c r="L3" s="5"/>
      <c r="M3" s="5"/>
      <c r="N3" s="5"/>
    </row>
    <row r="4" spans="1:14" ht="15">
      <c r="A4"/>
      <c r="B4"/>
      <c r="C4"/>
      <c r="D4" s="15"/>
      <c r="E4" s="42">
        <v>3.78</v>
      </c>
      <c r="F4" s="17">
        <f>Calibrations!G16</f>
        <v>3.9187499999999997</v>
      </c>
      <c r="G4" s="11"/>
      <c r="H4" s="5" t="s">
        <v>13</v>
      </c>
      <c r="I4" s="5"/>
      <c r="J4" s="5"/>
      <c r="K4" s="5"/>
      <c r="L4" s="5"/>
      <c r="M4" s="5"/>
      <c r="N4" s="5"/>
    </row>
    <row r="5" spans="1:14" ht="15">
      <c r="A5"/>
      <c r="B5"/>
      <c r="C5"/>
      <c r="D5" s="43" t="s">
        <v>51</v>
      </c>
      <c r="E5" s="44">
        <v>0</v>
      </c>
      <c r="F5" s="45" t="s">
        <v>52</v>
      </c>
      <c r="G5" s="11"/>
      <c r="H5" s="5" t="s">
        <v>14</v>
      </c>
      <c r="I5" s="5"/>
      <c r="J5" s="5"/>
      <c r="K5" s="5"/>
      <c r="L5" s="5"/>
      <c r="M5" s="5"/>
      <c r="N5" s="5"/>
    </row>
    <row r="6" spans="1:12" ht="15">
      <c r="A6"/>
      <c r="B6"/>
      <c r="C6"/>
      <c r="D6" s="46"/>
      <c r="E6" s="27"/>
      <c r="F6" s="27"/>
      <c r="I6"/>
      <c r="L6"/>
    </row>
    <row r="7" spans="1:15" s="32" customFormat="1" ht="45">
      <c r="A7" s="32" t="s">
        <v>17</v>
      </c>
      <c r="B7" s="32" t="s">
        <v>18</v>
      </c>
      <c r="C7" s="32" t="s">
        <v>18</v>
      </c>
      <c r="D7" s="29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47" t="s">
        <v>23</v>
      </c>
      <c r="J7" s="34" t="s">
        <v>53</v>
      </c>
      <c r="K7" s="34" t="s">
        <v>53</v>
      </c>
      <c r="L7" s="48" t="s">
        <v>25</v>
      </c>
      <c r="M7" s="34" t="s">
        <v>26</v>
      </c>
      <c r="N7" s="34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32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4" ht="15">
      <c r="A10" s="35">
        <v>39922</v>
      </c>
      <c r="B10" s="36">
        <v>13</v>
      </c>
      <c r="C10" s="36">
        <v>0</v>
      </c>
      <c r="D10" s="37">
        <v>0</v>
      </c>
      <c r="E10" s="38">
        <f aca="true" t="shared" si="0" ref="E10:E31">D10*$F$4+$E$5</f>
        <v>0</v>
      </c>
      <c r="F10" s="38">
        <f aca="true" t="shared" si="1" ref="F10:F31">E10/$E$4</f>
        <v>0</v>
      </c>
      <c r="G10" s="38"/>
      <c r="H10" s="38"/>
      <c r="I10" s="39"/>
      <c r="J10" s="38"/>
      <c r="K10" s="38"/>
      <c r="L10" s="37"/>
      <c r="M10" s="49"/>
      <c r="N10" s="49"/>
    </row>
    <row r="11" spans="1:14" ht="15">
      <c r="A11" s="35">
        <v>39923</v>
      </c>
      <c r="B11" s="36">
        <v>8</v>
      </c>
      <c r="C11" s="36">
        <v>45</v>
      </c>
      <c r="D11" s="37">
        <v>8</v>
      </c>
      <c r="E11" s="38">
        <f t="shared" si="0"/>
        <v>31.349999999999998</v>
      </c>
      <c r="F11" s="38">
        <f t="shared" si="1"/>
        <v>8.293650793650794</v>
      </c>
      <c r="G11" s="38">
        <f>E11-E10</f>
        <v>31.349999999999998</v>
      </c>
      <c r="H11" s="38">
        <f>G11/$E$4</f>
        <v>8.293650793650794</v>
      </c>
      <c r="I11" s="39">
        <v>17.75</v>
      </c>
      <c r="J11" s="38">
        <f>(G11/I11)*24</f>
        <v>42.388732394366194</v>
      </c>
      <c r="K11" s="38">
        <f>J11/$E$4</f>
        <v>11.213950368879946</v>
      </c>
      <c r="L11" s="37">
        <v>8</v>
      </c>
      <c r="M11" s="38">
        <f>J11/L11</f>
        <v>5.298591549295774</v>
      </c>
      <c r="N11" s="38">
        <f>M11/$E$4</f>
        <v>1.4017437961099932</v>
      </c>
    </row>
    <row r="12" spans="1:14" ht="15">
      <c r="A12" s="35">
        <v>39924</v>
      </c>
      <c r="B12" s="1">
        <v>8</v>
      </c>
      <c r="C12" s="1">
        <v>45</v>
      </c>
      <c r="D12" s="1">
        <v>20</v>
      </c>
      <c r="E12" s="38">
        <f t="shared" si="0"/>
        <v>78.375</v>
      </c>
      <c r="F12" s="38">
        <f t="shared" si="1"/>
        <v>20.734126984126984</v>
      </c>
      <c r="G12" s="38">
        <f>E12-E11</f>
        <v>47.025000000000006</v>
      </c>
      <c r="H12" s="38">
        <f>G12/$E$4</f>
        <v>12.440476190476193</v>
      </c>
      <c r="I12" s="1">
        <v>24</v>
      </c>
      <c r="J12" s="38">
        <f>(G12/I12)*24</f>
        <v>47.025000000000006</v>
      </c>
      <c r="K12" s="38">
        <f>J12/$E$4</f>
        <v>12.440476190476193</v>
      </c>
      <c r="L12" s="1">
        <v>8</v>
      </c>
      <c r="M12" s="38">
        <f>J12/L12</f>
        <v>5.878125000000001</v>
      </c>
      <c r="N12" s="38">
        <f>M12/$E$4</f>
        <v>1.5550595238095242</v>
      </c>
    </row>
    <row r="13" spans="1:14" ht="15">
      <c r="A13" s="35">
        <v>39925</v>
      </c>
      <c r="B13" s="1">
        <v>8</v>
      </c>
      <c r="C13" s="1">
        <v>45</v>
      </c>
      <c r="D13" s="1">
        <v>35</v>
      </c>
      <c r="E13" s="38">
        <f t="shared" si="0"/>
        <v>137.15625</v>
      </c>
      <c r="F13" s="38">
        <f t="shared" si="1"/>
        <v>36.28472222222222</v>
      </c>
      <c r="G13" s="38">
        <f>E13-E12</f>
        <v>58.78125</v>
      </c>
      <c r="H13" s="38">
        <f>G13/$E$4</f>
        <v>15.550595238095239</v>
      </c>
      <c r="I13" s="1">
        <v>24</v>
      </c>
      <c r="J13" s="38">
        <f>(G13/I13)*24</f>
        <v>58.78125</v>
      </c>
      <c r="K13" s="38">
        <f>J13/$E$4</f>
        <v>15.550595238095239</v>
      </c>
      <c r="L13" s="1">
        <v>8</v>
      </c>
      <c r="M13" s="38">
        <f>J13/L13</f>
        <v>7.34765625</v>
      </c>
      <c r="N13" s="38">
        <f>M13/$E$4</f>
        <v>1.9438244047619049</v>
      </c>
    </row>
    <row r="14" spans="1:14" ht="15">
      <c r="A14" s="35">
        <v>39925</v>
      </c>
      <c r="B14" s="1">
        <v>11</v>
      </c>
      <c r="C14" s="1">
        <v>30</v>
      </c>
      <c r="D14" s="1">
        <v>35</v>
      </c>
      <c r="E14" s="38">
        <f t="shared" si="0"/>
        <v>137.15625</v>
      </c>
      <c r="F14" s="38">
        <f t="shared" si="1"/>
        <v>36.28472222222222</v>
      </c>
      <c r="G14" s="38">
        <f>E14-E13</f>
        <v>0</v>
      </c>
      <c r="H14" s="38">
        <f>G14/$E$4</f>
        <v>0</v>
      </c>
      <c r="I14" s="1">
        <v>2.75</v>
      </c>
      <c r="J14" s="38">
        <f>(G14/I14)*24</f>
        <v>0</v>
      </c>
      <c r="K14" s="38">
        <f>J14/$E$4</f>
        <v>0</v>
      </c>
      <c r="L14" s="1">
        <v>8</v>
      </c>
      <c r="M14" s="38">
        <f>J14/L14</f>
        <v>0</v>
      </c>
      <c r="N14" s="38">
        <f>M14/$E$4</f>
        <v>0</v>
      </c>
    </row>
    <row r="15" spans="1:15" ht="15">
      <c r="A15" s="35">
        <v>39925</v>
      </c>
      <c r="B15" s="1">
        <v>1</v>
      </c>
      <c r="C15" s="1">
        <v>0</v>
      </c>
      <c r="D15" s="1">
        <v>0</v>
      </c>
      <c r="E15" s="38">
        <f t="shared" si="0"/>
        <v>0</v>
      </c>
      <c r="F15" s="38">
        <f t="shared" si="1"/>
        <v>0</v>
      </c>
      <c r="I15" s="1">
        <v>1.5</v>
      </c>
      <c r="L15" s="1">
        <v>8</v>
      </c>
      <c r="O15" t="s">
        <v>54</v>
      </c>
    </row>
    <row r="16" spans="1:14" ht="15">
      <c r="A16" s="35">
        <v>39926</v>
      </c>
      <c r="B16" s="1">
        <v>8</v>
      </c>
      <c r="C16" s="1">
        <v>40</v>
      </c>
      <c r="D16" s="1">
        <v>9</v>
      </c>
      <c r="E16" s="38">
        <f t="shared" si="0"/>
        <v>35.26875</v>
      </c>
      <c r="F16" s="38">
        <f t="shared" si="1"/>
        <v>9.330357142857142</v>
      </c>
      <c r="G16" s="38">
        <f>E16-E15</f>
        <v>35.26875</v>
      </c>
      <c r="H16" s="38">
        <f>G16/$E$4</f>
        <v>9.330357142857142</v>
      </c>
      <c r="I16" s="1">
        <v>19.75</v>
      </c>
      <c r="J16" s="38">
        <f>(G16/I16)*24</f>
        <v>42.85822784810126</v>
      </c>
      <c r="K16" s="38">
        <f>J16/$E$4</f>
        <v>11.338155515370703</v>
      </c>
      <c r="L16" s="1">
        <v>8</v>
      </c>
      <c r="M16" s="38">
        <f>J16/L16</f>
        <v>5.357278481012657</v>
      </c>
      <c r="N16" s="38">
        <f>M16/$E$4</f>
        <v>1.4172694394213379</v>
      </c>
    </row>
    <row r="17" spans="1:14" ht="15">
      <c r="A17" s="35">
        <v>39927</v>
      </c>
      <c r="B17" s="1">
        <v>8</v>
      </c>
      <c r="C17" s="1">
        <v>40</v>
      </c>
      <c r="D17" s="1">
        <v>16</v>
      </c>
      <c r="E17" s="38">
        <f t="shared" si="0"/>
        <v>62.699999999999996</v>
      </c>
      <c r="F17" s="38">
        <f t="shared" si="1"/>
        <v>16.58730158730159</v>
      </c>
      <c r="G17" s="38">
        <f>E17-E16</f>
        <v>27.43125</v>
      </c>
      <c r="H17" s="38">
        <f>G17/$E$4</f>
        <v>7.256944444444445</v>
      </c>
      <c r="I17" s="1">
        <v>24</v>
      </c>
      <c r="J17" s="38">
        <f>(G17/I17)*24</f>
        <v>27.43125</v>
      </c>
      <c r="K17" s="38">
        <f>J17/$E$4</f>
        <v>7.256944444444445</v>
      </c>
      <c r="L17" s="1">
        <v>7.5</v>
      </c>
      <c r="M17" s="38">
        <f>J17/L17</f>
        <v>3.6574999999999998</v>
      </c>
      <c r="N17" s="38">
        <f>M17/$E$4</f>
        <v>0.9675925925925926</v>
      </c>
    </row>
    <row r="18" spans="1:14" ht="15">
      <c r="A18" s="35">
        <v>39928</v>
      </c>
      <c r="B18" s="1">
        <v>9</v>
      </c>
      <c r="C18" s="1">
        <v>10</v>
      </c>
      <c r="D18" s="1">
        <v>30</v>
      </c>
      <c r="E18" s="38">
        <f t="shared" si="0"/>
        <v>117.56249999999999</v>
      </c>
      <c r="F18" s="38">
        <f t="shared" si="1"/>
        <v>31.101190476190474</v>
      </c>
      <c r="G18" s="38">
        <f>E18-E17</f>
        <v>54.86249999999999</v>
      </c>
      <c r="H18" s="38">
        <f>G18/$E$4</f>
        <v>14.513888888888888</v>
      </c>
      <c r="I18" s="1">
        <v>24.5</v>
      </c>
      <c r="J18" s="38">
        <f>(G18/I18)*24</f>
        <v>53.74285714285713</v>
      </c>
      <c r="K18" s="38">
        <f>J18/$E$4</f>
        <v>14.21768707482993</v>
      </c>
      <c r="L18" s="1">
        <v>7</v>
      </c>
      <c r="M18" s="38">
        <f>J18/L18</f>
        <v>7.677551020408162</v>
      </c>
      <c r="N18" s="38">
        <f>M18/$E$4</f>
        <v>2.031098153547133</v>
      </c>
    </row>
    <row r="19" spans="1:15" ht="15">
      <c r="A19" s="35">
        <v>39928</v>
      </c>
      <c r="B19" s="1">
        <v>10</v>
      </c>
      <c r="C19" s="1">
        <v>0</v>
      </c>
      <c r="D19" s="1">
        <v>0</v>
      </c>
      <c r="E19" s="38">
        <f t="shared" si="0"/>
        <v>0</v>
      </c>
      <c r="F19" s="38">
        <f t="shared" si="1"/>
        <v>0</v>
      </c>
      <c r="I19" s="1">
        <f>50/60</f>
        <v>0.8333333333333334</v>
      </c>
      <c r="L19" s="1">
        <v>7</v>
      </c>
      <c r="O19" t="s">
        <v>55</v>
      </c>
    </row>
    <row r="20" spans="1:15" ht="15">
      <c r="A20" s="35">
        <v>39929</v>
      </c>
      <c r="B20" s="1">
        <v>10</v>
      </c>
      <c r="C20" s="1">
        <v>20</v>
      </c>
      <c r="D20" s="1">
        <v>0</v>
      </c>
      <c r="E20" s="38">
        <f t="shared" si="0"/>
        <v>0</v>
      </c>
      <c r="F20" s="38">
        <f t="shared" si="1"/>
        <v>0</v>
      </c>
      <c r="I20" s="1">
        <v>24.3</v>
      </c>
      <c r="L20" s="1">
        <v>7</v>
      </c>
      <c r="O20" t="s">
        <v>56</v>
      </c>
    </row>
    <row r="21" spans="1:14" ht="15">
      <c r="A21" s="35">
        <v>39930</v>
      </c>
      <c r="B21" s="1">
        <v>8</v>
      </c>
      <c r="C21" s="1">
        <v>20</v>
      </c>
      <c r="D21" s="1">
        <v>10</v>
      </c>
      <c r="E21" s="38">
        <f t="shared" si="0"/>
        <v>39.1875</v>
      </c>
      <c r="F21" s="38">
        <f t="shared" si="1"/>
        <v>10.367063492063492</v>
      </c>
      <c r="G21" s="38">
        <f>E21-E20</f>
        <v>39.1875</v>
      </c>
      <c r="H21" s="38">
        <f>G21/$E$4</f>
        <v>10.367063492063492</v>
      </c>
      <c r="I21" s="1">
        <v>22</v>
      </c>
      <c r="J21" s="38">
        <f>(G21/I21)*24</f>
        <v>42.75</v>
      </c>
      <c r="K21" s="38">
        <f>J21/$E$4</f>
        <v>11.30952380952381</v>
      </c>
      <c r="L21" s="1">
        <v>7</v>
      </c>
      <c r="M21" s="38">
        <f>J21/L21</f>
        <v>6.107142857142857</v>
      </c>
      <c r="N21" s="38">
        <f>M21/$E$4</f>
        <v>1.6156462585034013</v>
      </c>
    </row>
    <row r="22" spans="1:14" ht="15">
      <c r="A22" s="35">
        <v>39931</v>
      </c>
      <c r="B22" s="1">
        <v>8</v>
      </c>
      <c r="C22" s="1">
        <v>45</v>
      </c>
      <c r="D22" s="1">
        <v>23</v>
      </c>
      <c r="E22" s="38">
        <f t="shared" si="0"/>
        <v>90.13125</v>
      </c>
      <c r="F22" s="38">
        <f t="shared" si="1"/>
        <v>23.84424603174603</v>
      </c>
      <c r="G22" s="38">
        <f>E22-E21</f>
        <v>50.943749999999994</v>
      </c>
      <c r="H22" s="38">
        <f>G22/$E$4</f>
        <v>13.47718253968254</v>
      </c>
      <c r="I22" s="1">
        <v>24.5</v>
      </c>
      <c r="J22" s="38">
        <f>(G22/I22)*24</f>
        <v>49.90408163265306</v>
      </c>
      <c r="K22" s="38">
        <f>J22/$E$4</f>
        <v>13.202137998056365</v>
      </c>
      <c r="L22" s="1">
        <v>7</v>
      </c>
      <c r="M22" s="38">
        <f>J22/L22</f>
        <v>7.129154518950437</v>
      </c>
      <c r="N22" s="38">
        <f>M22/$E$4</f>
        <v>1.8860197140080521</v>
      </c>
    </row>
    <row r="23" spans="1:14" ht="15">
      <c r="A23" s="35">
        <v>39931</v>
      </c>
      <c r="B23" s="1">
        <v>12</v>
      </c>
      <c r="C23" s="1">
        <v>0</v>
      </c>
      <c r="D23" s="1">
        <v>25</v>
      </c>
      <c r="E23" s="38">
        <f t="shared" si="0"/>
        <v>97.96875</v>
      </c>
      <c r="F23" s="38">
        <f t="shared" si="1"/>
        <v>25.91765873015873</v>
      </c>
      <c r="G23" s="38">
        <f>E23-E22</f>
        <v>7.837500000000006</v>
      </c>
      <c r="H23" s="38">
        <f>G23/$E$4</f>
        <v>2.0734126984127</v>
      </c>
      <c r="I23" s="1">
        <v>3.25</v>
      </c>
      <c r="J23" s="38">
        <f>(G23/I23)*24</f>
        <v>57.87692307692312</v>
      </c>
      <c r="K23" s="38">
        <f>J23/$E$4</f>
        <v>15.311355311355323</v>
      </c>
      <c r="L23" s="1">
        <v>7</v>
      </c>
      <c r="M23" s="38">
        <f>J23/L23</f>
        <v>8.268131868131874</v>
      </c>
      <c r="N23" s="38">
        <f>M23/$E$4</f>
        <v>2.1873364730507605</v>
      </c>
    </row>
    <row r="24" spans="1:15" ht="15">
      <c r="A24" s="35">
        <v>39931</v>
      </c>
      <c r="B24" s="1">
        <v>12</v>
      </c>
      <c r="C24" s="1">
        <v>0</v>
      </c>
      <c r="D24" s="1">
        <v>0</v>
      </c>
      <c r="E24" s="38">
        <f t="shared" si="0"/>
        <v>0</v>
      </c>
      <c r="F24" s="38">
        <f t="shared" si="1"/>
        <v>0</v>
      </c>
      <c r="O24" t="s">
        <v>57</v>
      </c>
    </row>
    <row r="25" spans="1:14" ht="15">
      <c r="A25" s="35">
        <v>39932</v>
      </c>
      <c r="B25" s="1">
        <v>9</v>
      </c>
      <c r="C25" s="1">
        <v>0</v>
      </c>
      <c r="D25" s="1">
        <v>10</v>
      </c>
      <c r="E25" s="38">
        <f t="shared" si="0"/>
        <v>39.1875</v>
      </c>
      <c r="F25" s="38">
        <f t="shared" si="1"/>
        <v>10.367063492063492</v>
      </c>
      <c r="G25" s="38">
        <f>E25-E24</f>
        <v>39.1875</v>
      </c>
      <c r="H25" s="38">
        <f>G25/$E$4</f>
        <v>10.367063492063492</v>
      </c>
      <c r="I25" s="1">
        <v>18</v>
      </c>
      <c r="J25" s="38">
        <f>(G25/I25)*24</f>
        <v>52.25</v>
      </c>
      <c r="K25" s="38">
        <f>J25/$E$4</f>
        <v>13.822751322751323</v>
      </c>
      <c r="L25" s="1">
        <v>7</v>
      </c>
      <c r="M25" s="38">
        <f>J25/L25</f>
        <v>7.464285714285714</v>
      </c>
      <c r="N25" s="38">
        <f>M25/$E$4</f>
        <v>1.9746787603930462</v>
      </c>
    </row>
    <row r="26" spans="1:14" ht="15">
      <c r="A26" s="35">
        <v>39933</v>
      </c>
      <c r="B26" s="1">
        <v>8</v>
      </c>
      <c r="C26" s="1">
        <v>30</v>
      </c>
      <c r="D26" s="1">
        <v>15</v>
      </c>
      <c r="E26" s="38">
        <f t="shared" si="0"/>
        <v>58.78124999999999</v>
      </c>
      <c r="F26" s="38">
        <f t="shared" si="1"/>
        <v>15.550595238095237</v>
      </c>
      <c r="G26" s="38">
        <f>E26-E25</f>
        <v>19.593749999999993</v>
      </c>
      <c r="H26" s="38">
        <f>G26/$E$4</f>
        <v>5.183531746031744</v>
      </c>
      <c r="I26" s="1">
        <v>23.5</v>
      </c>
      <c r="J26" s="38">
        <f>(G26/I26)*24</f>
        <v>20.010638297872333</v>
      </c>
      <c r="K26" s="38">
        <f>J26/$E$4</f>
        <v>5.293819655521782</v>
      </c>
      <c r="L26" s="1">
        <v>8</v>
      </c>
      <c r="M26" s="38">
        <f>J26/L26</f>
        <v>2.5013297872340416</v>
      </c>
      <c r="N26" s="38">
        <f>M26/$E$4</f>
        <v>0.6617274569402227</v>
      </c>
    </row>
    <row r="27" spans="1:14" ht="15">
      <c r="A27" s="35">
        <v>39934</v>
      </c>
      <c r="B27" s="1">
        <v>8</v>
      </c>
      <c r="C27" s="1">
        <v>36</v>
      </c>
      <c r="D27" s="1">
        <v>23</v>
      </c>
      <c r="E27" s="38">
        <f t="shared" si="0"/>
        <v>90.13125</v>
      </c>
      <c r="F27" s="38">
        <f t="shared" si="1"/>
        <v>23.84424603174603</v>
      </c>
      <c r="G27" s="38">
        <f>E27-E26</f>
        <v>31.35</v>
      </c>
      <c r="H27" s="38">
        <f>G27/$E$4</f>
        <v>8.293650793650794</v>
      </c>
      <c r="I27" s="1">
        <v>24.1</v>
      </c>
      <c r="J27" s="38">
        <f>(G27/I27)*24</f>
        <v>31.219917012448136</v>
      </c>
      <c r="K27" s="38">
        <f>J27/$E$4</f>
        <v>8.25923730488046</v>
      </c>
      <c r="L27" s="1">
        <v>8</v>
      </c>
      <c r="M27" s="38">
        <f>J27/L27</f>
        <v>3.902489626556017</v>
      </c>
      <c r="N27" s="38">
        <f>M27/$E$4</f>
        <v>1.0324046631100574</v>
      </c>
    </row>
    <row r="28" spans="1:12" ht="15">
      <c r="A28" s="35">
        <v>39934</v>
      </c>
      <c r="B28" s="1">
        <v>10</v>
      </c>
      <c r="C28" s="1">
        <v>15</v>
      </c>
      <c r="D28" s="1">
        <v>24</v>
      </c>
      <c r="E28" s="38">
        <f t="shared" si="0"/>
        <v>94.05</v>
      </c>
      <c r="F28" s="38">
        <f t="shared" si="1"/>
        <v>24.880952380952383</v>
      </c>
      <c r="G28" s="38">
        <f>E28-E27</f>
        <v>3.918750000000003</v>
      </c>
      <c r="H28" s="38">
        <f>G28/$E$4</f>
        <v>1.03670634920635</v>
      </c>
      <c r="I28" s="1">
        <v>1.25</v>
      </c>
      <c r="J28" s="38">
        <f>(G28/I28)*24</f>
        <v>75.24000000000007</v>
      </c>
      <c r="K28" s="38">
        <f>J28/$E$4</f>
        <v>19.904761904761923</v>
      </c>
      <c r="L28" s="1">
        <v>8</v>
      </c>
    </row>
    <row r="29" spans="1:15" ht="15">
      <c r="A29" s="35">
        <v>39934</v>
      </c>
      <c r="B29" s="1">
        <v>11</v>
      </c>
      <c r="C29" s="1">
        <v>0</v>
      </c>
      <c r="D29" s="1">
        <v>0</v>
      </c>
      <c r="E29" s="38">
        <f t="shared" si="0"/>
        <v>0</v>
      </c>
      <c r="F29" s="38">
        <f t="shared" si="1"/>
        <v>0</v>
      </c>
      <c r="I29" s="1">
        <v>2.25</v>
      </c>
      <c r="L29" s="1">
        <v>8</v>
      </c>
      <c r="O29" t="s">
        <v>58</v>
      </c>
    </row>
    <row r="30" spans="1:14" ht="15">
      <c r="A30" s="35">
        <v>39935</v>
      </c>
      <c r="B30" s="1">
        <v>8</v>
      </c>
      <c r="C30" s="1">
        <v>45</v>
      </c>
      <c r="D30" s="1">
        <v>5</v>
      </c>
      <c r="E30" s="38">
        <f t="shared" si="0"/>
        <v>19.59375</v>
      </c>
      <c r="F30" s="38">
        <f t="shared" si="1"/>
        <v>5.183531746031746</v>
      </c>
      <c r="G30" s="38">
        <f>E30-E29</f>
        <v>19.59375</v>
      </c>
      <c r="H30" s="38">
        <f>G30/$E$4</f>
        <v>5.183531746031746</v>
      </c>
      <c r="I30" s="1">
        <v>22.25</v>
      </c>
      <c r="J30" s="38">
        <f>(G30/I30)*24</f>
        <v>21.134831460674157</v>
      </c>
      <c r="K30" s="38">
        <f>J30/$E$4</f>
        <v>5.591225254146603</v>
      </c>
      <c r="L30" s="1">
        <v>8</v>
      </c>
      <c r="M30" s="38">
        <f>J30/L30</f>
        <v>2.6418539325842696</v>
      </c>
      <c r="N30" s="38">
        <f>M30/$E$4</f>
        <v>0.6989031567683254</v>
      </c>
    </row>
    <row r="31" spans="1:14" ht="15">
      <c r="A31" s="35">
        <v>39936</v>
      </c>
      <c r="B31" s="1">
        <v>8</v>
      </c>
      <c r="C31" s="1">
        <v>15</v>
      </c>
      <c r="D31" s="1">
        <v>24</v>
      </c>
      <c r="E31" s="38">
        <f t="shared" si="0"/>
        <v>94.05</v>
      </c>
      <c r="F31" s="38">
        <f t="shared" si="1"/>
        <v>24.880952380952383</v>
      </c>
      <c r="G31" s="38">
        <f>E31-E30</f>
        <v>74.45625</v>
      </c>
      <c r="H31" s="38">
        <f>G31/$E$4</f>
        <v>19.697420634920636</v>
      </c>
      <c r="I31" s="41">
        <v>23.5</v>
      </c>
      <c r="J31" s="38">
        <f>(G31/I31)*24</f>
        <v>76.04042553191489</v>
      </c>
      <c r="K31" s="38">
        <f>J31/$E$4</f>
        <v>20.116514690982775</v>
      </c>
      <c r="L31" s="1">
        <v>7</v>
      </c>
      <c r="M31" s="38">
        <f>J31/L31</f>
        <v>10.8629179331307</v>
      </c>
      <c r="N31" s="38">
        <f>M31/$E$4</f>
        <v>2.8737878129975396</v>
      </c>
    </row>
    <row r="32" spans="1:14" ht="15">
      <c r="A32" s="35" t="s">
        <v>45</v>
      </c>
      <c r="E32" s="38"/>
      <c r="F32" s="38"/>
      <c r="G32" s="38"/>
      <c r="H32" s="38"/>
      <c r="I32" s="41"/>
      <c r="J32" s="38"/>
      <c r="K32" s="38"/>
      <c r="M32" s="38"/>
      <c r="N32" s="38"/>
    </row>
    <row r="33" spans="1:15" ht="15">
      <c r="A33" s="35">
        <v>39943</v>
      </c>
      <c r="B33" s="1">
        <v>13</v>
      </c>
      <c r="C33" s="1">
        <v>45</v>
      </c>
      <c r="D33" s="1">
        <v>0</v>
      </c>
      <c r="E33">
        <v>0</v>
      </c>
      <c r="F33">
        <v>0</v>
      </c>
      <c r="L33" s="1">
        <v>9</v>
      </c>
      <c r="O33" t="s">
        <v>59</v>
      </c>
    </row>
    <row r="34" spans="1:14" ht="15">
      <c r="A34" s="35">
        <v>39944</v>
      </c>
      <c r="B34" s="1">
        <v>8</v>
      </c>
      <c r="C34" s="1">
        <v>30</v>
      </c>
      <c r="D34" s="1">
        <v>5</v>
      </c>
      <c r="E34" s="38">
        <f aca="true" t="shared" si="2" ref="E34:E61">D34*$F$4+$E$5</f>
        <v>19.59375</v>
      </c>
      <c r="F34" s="38">
        <f aca="true" t="shared" si="3" ref="F34:F61">E34/$E$4</f>
        <v>5.183531746031746</v>
      </c>
      <c r="G34" s="38">
        <f>E34-E33</f>
        <v>19.59375</v>
      </c>
      <c r="H34" s="38">
        <f>G34/$E$4</f>
        <v>5.183531746031746</v>
      </c>
      <c r="I34" s="1">
        <v>18.75</v>
      </c>
      <c r="J34" s="38">
        <f>(G34/I34)*24</f>
        <v>25.08</v>
      </c>
      <c r="K34" s="38">
        <f>J34/$E$4</f>
        <v>6.634920634920634</v>
      </c>
      <c r="L34" s="1">
        <v>9</v>
      </c>
      <c r="M34" s="38">
        <f>J34/L34</f>
        <v>2.7866666666666666</v>
      </c>
      <c r="N34" s="38">
        <f>M34/$E$4</f>
        <v>0.7372134038800706</v>
      </c>
    </row>
    <row r="35" spans="1:14" ht="15">
      <c r="A35" s="35">
        <v>39945</v>
      </c>
      <c r="B35" s="1">
        <v>8</v>
      </c>
      <c r="C35" s="1">
        <v>40</v>
      </c>
      <c r="D35" s="1">
        <v>22</v>
      </c>
      <c r="E35" s="38">
        <f t="shared" si="2"/>
        <v>86.21249999999999</v>
      </c>
      <c r="F35" s="38">
        <f t="shared" si="3"/>
        <v>22.80753968253968</v>
      </c>
      <c r="G35" s="38">
        <f>E35-E34</f>
        <v>66.61874999999999</v>
      </c>
      <c r="H35" s="38">
        <f>G35/$E$4</f>
        <v>17.624007936507937</v>
      </c>
      <c r="I35" s="41">
        <v>24.6</v>
      </c>
      <c r="J35" s="38">
        <f>(G35/I35)*24</f>
        <v>64.99390243902438</v>
      </c>
      <c r="K35" s="38">
        <f>J35/$E$4</f>
        <v>17.194154084397987</v>
      </c>
      <c r="L35" s="1">
        <v>9</v>
      </c>
      <c r="M35" s="38">
        <f>J35/L35</f>
        <v>7.221544715447154</v>
      </c>
      <c r="N35" s="38">
        <f>M35/$E$4</f>
        <v>1.9104615649331096</v>
      </c>
    </row>
    <row r="36" spans="1:14" ht="15">
      <c r="A36" s="35">
        <v>39946</v>
      </c>
      <c r="B36" s="1">
        <v>8</v>
      </c>
      <c r="C36" s="1">
        <v>30</v>
      </c>
      <c r="D36" s="1">
        <v>33</v>
      </c>
      <c r="E36" s="38">
        <f t="shared" si="2"/>
        <v>129.31875</v>
      </c>
      <c r="F36" s="38">
        <f t="shared" si="3"/>
        <v>34.211309523809526</v>
      </c>
      <c r="G36" s="38">
        <f>E36-E35</f>
        <v>43.10625</v>
      </c>
      <c r="H36" s="38">
        <f>G36/$E$4</f>
        <v>11.403769841269842</v>
      </c>
      <c r="I36" s="1">
        <v>24</v>
      </c>
      <c r="J36" s="38">
        <f>(G36/I36)*24</f>
        <v>43.10625</v>
      </c>
      <c r="K36" s="38">
        <f>J36/$E$4</f>
        <v>11.403769841269842</v>
      </c>
      <c r="L36" s="1">
        <v>8.5</v>
      </c>
      <c r="M36" s="38">
        <f>J36/L36</f>
        <v>5.071323529411765</v>
      </c>
      <c r="N36" s="38">
        <f>M36/$E$4</f>
        <v>1.3416199813258638</v>
      </c>
    </row>
    <row r="37" spans="1:15" ht="15">
      <c r="A37" s="35">
        <v>39946</v>
      </c>
      <c r="B37" s="1">
        <v>11</v>
      </c>
      <c r="C37" s="1">
        <v>15</v>
      </c>
      <c r="D37" s="1">
        <v>33</v>
      </c>
      <c r="E37" s="38">
        <f t="shared" si="2"/>
        <v>129.31875</v>
      </c>
      <c r="F37" s="38">
        <f t="shared" si="3"/>
        <v>34.211309523809526</v>
      </c>
      <c r="G37" s="38">
        <f>E37-E36</f>
        <v>0</v>
      </c>
      <c r="H37" s="38">
        <f>G37/$E$4</f>
        <v>0</v>
      </c>
      <c r="I37" s="1">
        <v>2.75</v>
      </c>
      <c r="J37" s="38">
        <f>(G37/I37)*24</f>
        <v>0</v>
      </c>
      <c r="K37" s="38">
        <f>J37/$E$4</f>
        <v>0</v>
      </c>
      <c r="L37" s="1">
        <v>8</v>
      </c>
      <c r="M37" s="38">
        <f>J37/L37</f>
        <v>0</v>
      </c>
      <c r="N37" s="38">
        <f>M37/$E$4</f>
        <v>0</v>
      </c>
      <c r="O37" t="s">
        <v>54</v>
      </c>
    </row>
    <row r="38" spans="1:6" ht="15">
      <c r="A38" s="35">
        <v>39946</v>
      </c>
      <c r="B38" s="1">
        <v>11</v>
      </c>
      <c r="C38" s="1">
        <v>15</v>
      </c>
      <c r="D38" s="1">
        <v>0</v>
      </c>
      <c r="E38" s="38">
        <f t="shared" si="2"/>
        <v>0</v>
      </c>
      <c r="F38" s="38">
        <f t="shared" si="3"/>
        <v>0</v>
      </c>
    </row>
    <row r="39" spans="1:14" ht="15">
      <c r="A39" s="35">
        <v>39947</v>
      </c>
      <c r="B39" s="1">
        <v>8</v>
      </c>
      <c r="C39" s="1">
        <v>35</v>
      </c>
      <c r="D39" s="1">
        <v>7</v>
      </c>
      <c r="E39" s="38">
        <f t="shared" si="2"/>
        <v>27.43125</v>
      </c>
      <c r="F39" s="38">
        <f t="shared" si="3"/>
        <v>7.256944444444445</v>
      </c>
      <c r="G39" s="38">
        <f>E39-E38</f>
        <v>27.43125</v>
      </c>
      <c r="H39" s="38">
        <f>G39/$E$4</f>
        <v>7.256944444444445</v>
      </c>
      <c r="I39" s="1">
        <v>21.3</v>
      </c>
      <c r="J39" s="38">
        <f>(G39/I39)*24</f>
        <v>30.908450704225352</v>
      </c>
      <c r="K39" s="38">
        <f>J39/$E$4</f>
        <v>8.176838810641629</v>
      </c>
      <c r="L39" s="1">
        <v>8</v>
      </c>
      <c r="M39" s="38">
        <f>J39/L39</f>
        <v>3.863556338028169</v>
      </c>
      <c r="N39" s="38">
        <f>M39/$E$4</f>
        <v>1.0221048513302036</v>
      </c>
    </row>
    <row r="40" spans="1:14" ht="15">
      <c r="A40" s="35">
        <v>39948</v>
      </c>
      <c r="B40" s="1">
        <v>8</v>
      </c>
      <c r="C40" s="1">
        <v>35</v>
      </c>
      <c r="D40" s="1">
        <v>19</v>
      </c>
      <c r="E40" s="38">
        <f t="shared" si="2"/>
        <v>74.45625</v>
      </c>
      <c r="F40" s="38">
        <f t="shared" si="3"/>
        <v>19.697420634920636</v>
      </c>
      <c r="G40" s="38">
        <f>E40-E39</f>
        <v>47.025</v>
      </c>
      <c r="H40" s="38">
        <f>G40/$E$4</f>
        <v>12.440476190476192</v>
      </c>
      <c r="I40" s="1">
        <v>24</v>
      </c>
      <c r="J40" s="38">
        <f>(G40/I40)*24</f>
        <v>47.025</v>
      </c>
      <c r="K40" s="38">
        <f>J40/$E$4</f>
        <v>12.440476190476192</v>
      </c>
      <c r="L40" s="1">
        <v>8</v>
      </c>
      <c r="M40" s="38">
        <f>J40/L40</f>
        <v>5.878125</v>
      </c>
      <c r="N40" s="38">
        <f>M40/$E$4</f>
        <v>1.555059523809524</v>
      </c>
    </row>
    <row r="41" spans="1:14" ht="15">
      <c r="A41" s="35">
        <v>39949</v>
      </c>
      <c r="B41" s="1">
        <v>8</v>
      </c>
      <c r="C41" s="1">
        <v>35</v>
      </c>
      <c r="D41" s="1">
        <v>21</v>
      </c>
      <c r="E41" s="38">
        <f t="shared" si="2"/>
        <v>82.29374999999999</v>
      </c>
      <c r="F41" s="38">
        <f t="shared" si="3"/>
        <v>21.770833333333332</v>
      </c>
      <c r="G41" s="38">
        <f>E41-E40</f>
        <v>7.8374999999999915</v>
      </c>
      <c r="H41" s="38">
        <f>G41/$E$4</f>
        <v>2.0734126984126964</v>
      </c>
      <c r="I41" s="1">
        <v>24</v>
      </c>
      <c r="J41" s="38">
        <f>(G41/I41)*24</f>
        <v>7.8374999999999915</v>
      </c>
      <c r="K41" s="38">
        <f>J41/$E$4</f>
        <v>2.0734126984126964</v>
      </c>
      <c r="L41" s="1">
        <v>8</v>
      </c>
      <c r="M41" s="38">
        <f>J41/L41</f>
        <v>0.9796874999999989</v>
      </c>
      <c r="N41" s="38">
        <f>M41/$E$4</f>
        <v>0.25917658730158705</v>
      </c>
    </row>
    <row r="42" spans="1:15" ht="15">
      <c r="A42" s="35">
        <v>39949</v>
      </c>
      <c r="B42" s="1">
        <v>9</v>
      </c>
      <c r="C42" s="1">
        <v>30</v>
      </c>
      <c r="D42" s="1">
        <v>0</v>
      </c>
      <c r="E42" s="38">
        <f t="shared" si="2"/>
        <v>0</v>
      </c>
      <c r="F42" s="38">
        <f t="shared" si="3"/>
        <v>0</v>
      </c>
      <c r="O42" t="s">
        <v>55</v>
      </c>
    </row>
    <row r="43" spans="1:14" ht="15">
      <c r="A43" s="35">
        <v>39950</v>
      </c>
      <c r="B43" s="1">
        <v>8</v>
      </c>
      <c r="C43" s="1">
        <v>30</v>
      </c>
      <c r="D43" s="1">
        <v>5</v>
      </c>
      <c r="E43" s="38">
        <f t="shared" si="2"/>
        <v>19.59375</v>
      </c>
      <c r="F43" s="38">
        <f t="shared" si="3"/>
        <v>5.183531746031746</v>
      </c>
      <c r="G43" s="38">
        <f>E43-E42</f>
        <v>19.59375</v>
      </c>
      <c r="H43" s="38">
        <f>G43/$E$4</f>
        <v>5.183531746031746</v>
      </c>
      <c r="I43" s="1">
        <v>23</v>
      </c>
      <c r="J43" s="38">
        <f>(G43/I43)*24</f>
        <v>20.445652173913043</v>
      </c>
      <c r="K43" s="38">
        <f>J43/$E$4</f>
        <v>5.408902691511387</v>
      </c>
      <c r="L43" s="1">
        <v>6</v>
      </c>
      <c r="M43" s="38">
        <f>J43/L43</f>
        <v>3.407608695652174</v>
      </c>
      <c r="N43" s="38">
        <f>M43/$E$4</f>
        <v>0.9014837819185646</v>
      </c>
    </row>
    <row r="44" spans="1:14" ht="15">
      <c r="A44" s="35">
        <v>39951</v>
      </c>
      <c r="B44" s="1">
        <v>8</v>
      </c>
      <c r="C44" s="1">
        <v>15</v>
      </c>
      <c r="D44" s="1">
        <v>15</v>
      </c>
      <c r="E44" s="38">
        <f t="shared" si="2"/>
        <v>58.78124999999999</v>
      </c>
      <c r="F44" s="38">
        <f t="shared" si="3"/>
        <v>15.550595238095237</v>
      </c>
      <c r="G44" s="38">
        <f>E44-E43</f>
        <v>39.18749999999999</v>
      </c>
      <c r="H44" s="38">
        <f>G44/$E$4</f>
        <v>10.36706349206349</v>
      </c>
      <c r="I44" s="1">
        <v>23.75</v>
      </c>
      <c r="J44" s="38">
        <f>(G44/I44)*24</f>
        <v>39.599999999999994</v>
      </c>
      <c r="K44" s="38">
        <f>J44/$E$4</f>
        <v>10.476190476190474</v>
      </c>
      <c r="L44" s="1">
        <v>7</v>
      </c>
      <c r="M44" s="38">
        <f>K45/L44</f>
        <v>2.052037309769269</v>
      </c>
      <c r="N44" s="38">
        <f>M44/$E$4</f>
        <v>0.5428670131664732</v>
      </c>
    </row>
    <row r="45" spans="1:14" ht="15">
      <c r="A45" s="35">
        <v>39952</v>
      </c>
      <c r="B45" s="1">
        <v>8</v>
      </c>
      <c r="C45" s="1">
        <v>35</v>
      </c>
      <c r="D45" s="1">
        <v>29</v>
      </c>
      <c r="E45" s="38">
        <f t="shared" si="2"/>
        <v>113.64375</v>
      </c>
      <c r="F45" s="38">
        <f t="shared" si="3"/>
        <v>30.064484126984127</v>
      </c>
      <c r="G45" s="38">
        <f>E45-E44</f>
        <v>54.862500000000004</v>
      </c>
      <c r="H45" s="38">
        <f>G45/$E$4</f>
        <v>14.513888888888891</v>
      </c>
      <c r="I45" s="1">
        <v>24.25</v>
      </c>
      <c r="J45" s="38">
        <f>(G45/I45)*24</f>
        <v>54.296907216494844</v>
      </c>
      <c r="K45" s="38">
        <f>J45/$E$4</f>
        <v>14.36426116838488</v>
      </c>
      <c r="L45" s="1">
        <v>7</v>
      </c>
      <c r="M45" s="38">
        <f>K46/L45</f>
        <v>2.494331065759636</v>
      </c>
      <c r="N45" s="38">
        <f>M45/$E$4</f>
        <v>0.659875943322655</v>
      </c>
    </row>
    <row r="46" spans="1:14" ht="15">
      <c r="A46" s="35">
        <v>39952</v>
      </c>
      <c r="B46" s="1">
        <v>20</v>
      </c>
      <c r="C46" s="1">
        <v>0</v>
      </c>
      <c r="D46" s="1">
        <v>37</v>
      </c>
      <c r="E46" s="38">
        <f t="shared" si="2"/>
        <v>144.99374999999998</v>
      </c>
      <c r="F46" s="38">
        <f t="shared" si="3"/>
        <v>38.35813492063492</v>
      </c>
      <c r="G46" s="38">
        <f>E46-E45</f>
        <v>31.34999999999998</v>
      </c>
      <c r="H46" s="38">
        <f>G46/$E$4</f>
        <v>8.293650793650789</v>
      </c>
      <c r="I46" s="1">
        <v>11.4</v>
      </c>
      <c r="J46" s="38">
        <f>(G46/I46)*24</f>
        <v>65.99999999999996</v>
      </c>
      <c r="K46" s="38">
        <f>J46/$E$4</f>
        <v>17.46031746031745</v>
      </c>
      <c r="L46" s="1">
        <v>7</v>
      </c>
      <c r="M46" s="38">
        <f>J46/L46</f>
        <v>9.428571428571422</v>
      </c>
      <c r="N46" s="38">
        <f>M46/$E$4</f>
        <v>2.4943310657596354</v>
      </c>
    </row>
    <row r="47" spans="1:15" ht="15">
      <c r="A47" s="35">
        <v>39952</v>
      </c>
      <c r="B47" s="1">
        <v>20</v>
      </c>
      <c r="C47" s="1">
        <v>0</v>
      </c>
      <c r="D47" s="1">
        <v>0</v>
      </c>
      <c r="E47" s="38">
        <f t="shared" si="2"/>
        <v>0</v>
      </c>
      <c r="F47" s="38">
        <f t="shared" si="3"/>
        <v>0</v>
      </c>
      <c r="O47" t="s">
        <v>54</v>
      </c>
    </row>
    <row r="48" spans="1:14" ht="15">
      <c r="A48" s="35">
        <v>39953</v>
      </c>
      <c r="B48" s="1">
        <v>8</v>
      </c>
      <c r="C48" s="1">
        <v>35</v>
      </c>
      <c r="D48" s="1">
        <v>2</v>
      </c>
      <c r="E48" s="38">
        <f t="shared" si="2"/>
        <v>7.8374999999999995</v>
      </c>
      <c r="F48" s="38">
        <f t="shared" si="3"/>
        <v>2.0734126984126986</v>
      </c>
      <c r="G48" s="38">
        <f>E48-E47</f>
        <v>7.8374999999999995</v>
      </c>
      <c r="H48" s="38">
        <f>G48/$E$4</f>
        <v>2.0734126984126986</v>
      </c>
      <c r="I48" s="1">
        <v>12.5</v>
      </c>
      <c r="J48" s="38">
        <f>(G48/I48)*24</f>
        <v>15.048</v>
      </c>
      <c r="K48" s="38">
        <f>J48/$E$4</f>
        <v>3.980952380952381</v>
      </c>
      <c r="L48" s="1">
        <v>7</v>
      </c>
      <c r="M48" s="38">
        <f>J48/L48</f>
        <v>2.149714285714286</v>
      </c>
      <c r="N48" s="38">
        <f>M48/$E$4</f>
        <v>0.5687074829931974</v>
      </c>
    </row>
    <row r="49" spans="1:15" ht="15">
      <c r="A49" s="35">
        <v>39954</v>
      </c>
      <c r="B49" s="1">
        <v>9</v>
      </c>
      <c r="C49" s="1">
        <v>40</v>
      </c>
      <c r="D49" s="1">
        <v>15</v>
      </c>
      <c r="E49" s="38">
        <f t="shared" si="2"/>
        <v>58.78124999999999</v>
      </c>
      <c r="F49" s="38">
        <f t="shared" si="3"/>
        <v>15.550595238095237</v>
      </c>
      <c r="G49" s="38">
        <f>E49-E48</f>
        <v>50.943749999999994</v>
      </c>
      <c r="H49" s="38">
        <f>G49/$E$4</f>
        <v>13.47718253968254</v>
      </c>
      <c r="I49" s="1">
        <v>25.25</v>
      </c>
      <c r="J49" s="38">
        <f>(G49/I49)*24</f>
        <v>48.42178217821781</v>
      </c>
      <c r="K49" s="38">
        <f>J49/$E$4</f>
        <v>12.809995285242808</v>
      </c>
      <c r="L49" s="1">
        <v>7</v>
      </c>
      <c r="M49" s="38">
        <f>J49/L49</f>
        <v>6.917397454031116</v>
      </c>
      <c r="N49" s="38">
        <f>M49/$E$4</f>
        <v>1.8299993264632584</v>
      </c>
      <c r="O49" t="s">
        <v>60</v>
      </c>
    </row>
    <row r="50" spans="1:14" ht="15">
      <c r="A50" s="35">
        <v>39955</v>
      </c>
      <c r="B50" s="1">
        <v>8</v>
      </c>
      <c r="C50" s="1">
        <v>40</v>
      </c>
      <c r="D50" s="1">
        <v>30</v>
      </c>
      <c r="E50" s="38">
        <f t="shared" si="2"/>
        <v>117.56249999999999</v>
      </c>
      <c r="F50" s="38">
        <f t="shared" si="3"/>
        <v>31.101190476190474</v>
      </c>
      <c r="G50" s="38">
        <f>E50-E49</f>
        <v>58.78124999999999</v>
      </c>
      <c r="H50" s="38">
        <f>G50/$E$4</f>
        <v>15.550595238095237</v>
      </c>
      <c r="I50" s="1">
        <v>23</v>
      </c>
      <c r="J50" s="38">
        <f>(G50/I50)*24</f>
        <v>61.33695652173912</v>
      </c>
      <c r="K50" s="38">
        <f>J50/$E$4</f>
        <v>16.22670807453416</v>
      </c>
      <c r="L50" s="1">
        <v>7</v>
      </c>
      <c r="M50" s="38">
        <f>J50/L50</f>
        <v>8.762422360248445</v>
      </c>
      <c r="N50" s="38">
        <f>M50/$E$4</f>
        <v>2.31810115350488</v>
      </c>
    </row>
    <row r="51" spans="1:15" ht="15">
      <c r="A51" s="35">
        <v>39955</v>
      </c>
      <c r="B51" s="1">
        <v>18</v>
      </c>
      <c r="C51" s="1">
        <v>40</v>
      </c>
      <c r="D51" s="1">
        <v>35</v>
      </c>
      <c r="E51" s="38">
        <f t="shared" si="2"/>
        <v>137.15625</v>
      </c>
      <c r="F51" s="38">
        <f t="shared" si="3"/>
        <v>36.28472222222222</v>
      </c>
      <c r="G51" s="38">
        <f>E51-E50</f>
        <v>19.593750000000014</v>
      </c>
      <c r="H51" s="38">
        <f>G51/$E$4</f>
        <v>5.1835317460317505</v>
      </c>
      <c r="I51" s="1">
        <v>10</v>
      </c>
      <c r="J51" s="38">
        <f>(G51/I51)*24</f>
        <v>47.025000000000034</v>
      </c>
      <c r="K51" s="38">
        <f>J51/$E$4</f>
        <v>12.4404761904762</v>
      </c>
      <c r="L51" s="1">
        <v>7</v>
      </c>
      <c r="M51" s="38">
        <f>J51/L51</f>
        <v>6.717857142857148</v>
      </c>
      <c r="N51" s="38">
        <f>M51/$E$4</f>
        <v>1.7772108843537429</v>
      </c>
      <c r="O51" t="s">
        <v>61</v>
      </c>
    </row>
    <row r="52" spans="1:14" ht="15">
      <c r="A52" s="35">
        <v>39955</v>
      </c>
      <c r="B52" s="1">
        <v>18</v>
      </c>
      <c r="C52" s="1">
        <v>40</v>
      </c>
      <c r="D52" s="1">
        <v>0</v>
      </c>
      <c r="E52" s="38">
        <f t="shared" si="2"/>
        <v>0</v>
      </c>
      <c r="F52" s="38">
        <f t="shared" si="3"/>
        <v>0</v>
      </c>
      <c r="G52" s="38"/>
      <c r="H52" s="38"/>
      <c r="J52" s="38"/>
      <c r="K52" s="38"/>
      <c r="M52" s="38"/>
      <c r="N52" s="38"/>
    </row>
    <row r="53" spans="1:14" ht="15">
      <c r="A53" s="35">
        <v>39956</v>
      </c>
      <c r="B53" s="1">
        <v>8</v>
      </c>
      <c r="C53" s="1">
        <v>30</v>
      </c>
      <c r="D53" s="1">
        <v>5</v>
      </c>
      <c r="E53" s="38">
        <f t="shared" si="2"/>
        <v>19.59375</v>
      </c>
      <c r="F53" s="38">
        <f t="shared" si="3"/>
        <v>5.183531746031746</v>
      </c>
      <c r="G53" s="38">
        <f>E53-E52</f>
        <v>19.59375</v>
      </c>
      <c r="H53" s="38">
        <f>G53/$E$4</f>
        <v>5.183531746031746</v>
      </c>
      <c r="I53" s="1">
        <v>14.9</v>
      </c>
      <c r="J53" s="38">
        <f>(G53/I53)*24</f>
        <v>31.560402684563755</v>
      </c>
      <c r="K53" s="38">
        <f>J53/$E$4</f>
        <v>8.34931287951422</v>
      </c>
      <c r="L53" s="1">
        <v>7</v>
      </c>
      <c r="M53" s="38">
        <f>J53/L53</f>
        <v>4.508628954937679</v>
      </c>
      <c r="N53" s="38">
        <f>M53/$E$4</f>
        <v>1.1927589827877458</v>
      </c>
    </row>
    <row r="54" spans="1:14" ht="15">
      <c r="A54" s="35">
        <v>39957</v>
      </c>
      <c r="B54" s="1">
        <v>8</v>
      </c>
      <c r="C54" s="1">
        <v>30</v>
      </c>
      <c r="D54" s="1">
        <v>20</v>
      </c>
      <c r="E54" s="38">
        <f t="shared" si="2"/>
        <v>78.375</v>
      </c>
      <c r="F54" s="38">
        <f t="shared" si="3"/>
        <v>20.734126984126984</v>
      </c>
      <c r="G54" s="38">
        <f>E54-E53</f>
        <v>58.78125</v>
      </c>
      <c r="H54" s="38">
        <f>G54/$E$4</f>
        <v>15.550595238095239</v>
      </c>
      <c r="I54" s="1">
        <v>24</v>
      </c>
      <c r="J54" s="38">
        <f>(G54/I54)*24</f>
        <v>58.78125</v>
      </c>
      <c r="K54" s="38">
        <f>J54/$E$4</f>
        <v>15.550595238095239</v>
      </c>
      <c r="L54" s="1">
        <v>7</v>
      </c>
      <c r="M54" s="38">
        <f>J54/L54</f>
        <v>8.397321428571429</v>
      </c>
      <c r="N54" s="38">
        <f>M54/$E$4</f>
        <v>2.221513605442177</v>
      </c>
    </row>
    <row r="55" spans="1:14" ht="15">
      <c r="A55" s="35">
        <v>39958</v>
      </c>
      <c r="B55" s="1">
        <v>8</v>
      </c>
      <c r="C55" s="1">
        <v>35</v>
      </c>
      <c r="D55" s="1">
        <v>27</v>
      </c>
      <c r="E55" s="38">
        <f t="shared" si="2"/>
        <v>105.80624999999999</v>
      </c>
      <c r="F55" s="38">
        <f t="shared" si="3"/>
        <v>27.991071428571427</v>
      </c>
      <c r="G55" s="38">
        <f>E55-E54</f>
        <v>27.43124999999999</v>
      </c>
      <c r="H55" s="38">
        <f>G55/$E$4</f>
        <v>7.256944444444443</v>
      </c>
      <c r="I55" s="1">
        <v>24.1</v>
      </c>
      <c r="J55" s="38">
        <f>(G55/I55)*24</f>
        <v>27.317427385892103</v>
      </c>
      <c r="K55" s="38">
        <f>J55/$E$4</f>
        <v>7.226832641770398</v>
      </c>
      <c r="L55" s="1">
        <v>7</v>
      </c>
      <c r="M55" s="38">
        <f>J55/L55</f>
        <v>3.9024896265560147</v>
      </c>
      <c r="N55" s="38">
        <f>M55/$E$4</f>
        <v>1.032404663110057</v>
      </c>
    </row>
    <row r="56" spans="1:15" ht="15">
      <c r="A56" s="35">
        <v>39958</v>
      </c>
      <c r="B56" s="1">
        <v>4</v>
      </c>
      <c r="C56" s="1">
        <v>10</v>
      </c>
      <c r="D56" s="1">
        <v>28</v>
      </c>
      <c r="E56" s="38">
        <f t="shared" si="2"/>
        <v>109.725</v>
      </c>
      <c r="F56" s="38">
        <f t="shared" si="3"/>
        <v>29.02777777777778</v>
      </c>
      <c r="G56" s="38">
        <f>E56-E55</f>
        <v>3.918750000000003</v>
      </c>
      <c r="H56" s="38">
        <f>G56/$E$4</f>
        <v>1.03670634920635</v>
      </c>
      <c r="I56" s="1">
        <v>7.4</v>
      </c>
      <c r="J56" s="38">
        <f>(G56/I56)*24</f>
        <v>12.709459459459469</v>
      </c>
      <c r="K56" s="38">
        <f>J56/$E$4</f>
        <v>3.3622908622908647</v>
      </c>
      <c r="L56" s="1">
        <v>7</v>
      </c>
      <c r="M56" s="38">
        <f>J56/L56</f>
        <v>1.8156370656370668</v>
      </c>
      <c r="N56" s="38">
        <f>M56/$E$4</f>
        <v>0.4803272660415521</v>
      </c>
      <c r="O56" t="s">
        <v>62</v>
      </c>
    </row>
    <row r="57" spans="1:15" ht="15">
      <c r="A57" s="35">
        <v>39958</v>
      </c>
      <c r="B57" s="1">
        <v>5</v>
      </c>
      <c r="C57" s="1">
        <v>0</v>
      </c>
      <c r="D57" s="1">
        <v>0</v>
      </c>
      <c r="E57" s="38">
        <f t="shared" si="2"/>
        <v>0</v>
      </c>
      <c r="F57" s="38">
        <f t="shared" si="3"/>
        <v>0</v>
      </c>
      <c r="O57" t="s">
        <v>54</v>
      </c>
    </row>
    <row r="58" spans="1:14" ht="15">
      <c r="A58" s="35">
        <v>39959</v>
      </c>
      <c r="B58" s="1">
        <v>8</v>
      </c>
      <c r="C58" s="1">
        <v>35</v>
      </c>
      <c r="D58" s="1">
        <v>5</v>
      </c>
      <c r="E58" s="38">
        <f t="shared" si="2"/>
        <v>19.59375</v>
      </c>
      <c r="F58" s="38">
        <f t="shared" si="3"/>
        <v>5.183531746031746</v>
      </c>
      <c r="G58" s="38">
        <f>E58-E57</f>
        <v>19.59375</v>
      </c>
      <c r="H58" s="38">
        <f>G58/$E$4</f>
        <v>5.183531746031746</v>
      </c>
      <c r="I58" s="1">
        <v>15.5</v>
      </c>
      <c r="J58" s="38">
        <f>(G58/I58)*24</f>
        <v>30.338709677419356</v>
      </c>
      <c r="K58" s="38">
        <f>J58/$E$4</f>
        <v>8.026113671274961</v>
      </c>
      <c r="L58" s="1">
        <v>7</v>
      </c>
      <c r="M58" s="38">
        <f>J58/L58</f>
        <v>4.3341013824884795</v>
      </c>
      <c r="N58" s="38">
        <f>M58/$E$4</f>
        <v>1.1465876673249946</v>
      </c>
    </row>
    <row r="59" spans="1:14" ht="15">
      <c r="A59" s="35">
        <v>39960</v>
      </c>
      <c r="B59" s="1">
        <v>8</v>
      </c>
      <c r="C59" s="1">
        <v>30</v>
      </c>
      <c r="D59" s="1">
        <v>15</v>
      </c>
      <c r="E59" s="38">
        <f t="shared" si="2"/>
        <v>58.78124999999999</v>
      </c>
      <c r="F59" s="38">
        <f t="shared" si="3"/>
        <v>15.550595238095237</v>
      </c>
      <c r="G59" s="38">
        <f>E59-E58</f>
        <v>39.18749999999999</v>
      </c>
      <c r="H59" s="38">
        <f>G59/$E$4</f>
        <v>10.36706349206349</v>
      </c>
      <c r="I59" s="1">
        <v>24</v>
      </c>
      <c r="J59" s="38">
        <f>(G59/I59)*24</f>
        <v>39.18749999999999</v>
      </c>
      <c r="K59" s="38">
        <f>J59/$E$4</f>
        <v>10.36706349206349</v>
      </c>
      <c r="L59" s="1">
        <v>7</v>
      </c>
      <c r="M59" s="38">
        <f>J59/L59</f>
        <v>5.598214285714285</v>
      </c>
      <c r="N59" s="38">
        <f>M59/$E$4</f>
        <v>1.4810090702947845</v>
      </c>
    </row>
    <row r="60" spans="1:14" ht="15">
      <c r="A60" s="35">
        <v>39960</v>
      </c>
      <c r="B60" s="1">
        <v>17</v>
      </c>
      <c r="C60" s="1">
        <v>30</v>
      </c>
      <c r="D60" s="1">
        <v>31</v>
      </c>
      <c r="E60" s="38">
        <f t="shared" si="2"/>
        <v>121.48124999999999</v>
      </c>
      <c r="F60" s="38">
        <f t="shared" si="3"/>
        <v>32.13789682539682</v>
      </c>
      <c r="G60" s="38">
        <f>E60-E59</f>
        <v>62.699999999999996</v>
      </c>
      <c r="H60" s="38">
        <f>G60/$E$4</f>
        <v>16.58730158730159</v>
      </c>
      <c r="I60" s="1">
        <v>9</v>
      </c>
      <c r="J60" s="38">
        <f>(G60/I60)*24</f>
        <v>167.2</v>
      </c>
      <c r="K60" s="38">
        <f>J60/$E$4</f>
        <v>44.232804232804234</v>
      </c>
      <c r="L60" s="1">
        <v>8</v>
      </c>
      <c r="M60" s="38">
        <f>J60/L60</f>
        <v>20.9</v>
      </c>
      <c r="N60" s="38">
        <f>M60/$E$4</f>
        <v>5.529100529100529</v>
      </c>
    </row>
    <row r="61" spans="1:6" ht="15">
      <c r="A61" s="35">
        <v>39960</v>
      </c>
      <c r="B61" s="1">
        <v>17</v>
      </c>
      <c r="C61" s="1">
        <v>30</v>
      </c>
      <c r="D61" s="1">
        <v>0</v>
      </c>
      <c r="E61" s="38">
        <f t="shared" si="2"/>
        <v>0</v>
      </c>
      <c r="F61" s="38">
        <f t="shared" si="3"/>
        <v>0</v>
      </c>
    </row>
    <row r="62" spans="1:12" ht="15">
      <c r="A62" s="35">
        <v>39961</v>
      </c>
      <c r="B62" s="1">
        <v>8</v>
      </c>
      <c r="C62" s="1">
        <v>15</v>
      </c>
      <c r="D62" s="1">
        <v>5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27</v>
      </c>
      <c r="E63" s="38">
        <f>D63*$F$4+$E$5</f>
        <v>105.80624999999999</v>
      </c>
      <c r="F63" s="38">
        <f>E63/$E$4</f>
        <v>27.991071428571427</v>
      </c>
      <c r="G63" s="38">
        <f>E63-E62</f>
        <v>105.80624999999999</v>
      </c>
      <c r="H63" s="38">
        <f>G63/$E$4</f>
        <v>27.991071428571427</v>
      </c>
      <c r="I63" s="1">
        <v>23.8</v>
      </c>
      <c r="J63" s="38">
        <f>(G63/I63)*24</f>
        <v>106.69537815126048</v>
      </c>
      <c r="K63" s="38">
        <f>J63/$E$4</f>
        <v>28.22629051620648</v>
      </c>
      <c r="L63" s="1">
        <v>12</v>
      </c>
      <c r="M63" s="38">
        <f>J63/L63</f>
        <v>8.89128151260504</v>
      </c>
      <c r="N63" s="38">
        <f>M63/$E$4</f>
        <v>2.35219087635054</v>
      </c>
    </row>
    <row r="64" spans="1:14" ht="15">
      <c r="A64" s="35">
        <v>39963</v>
      </c>
      <c r="B64" s="1">
        <v>8</v>
      </c>
      <c r="C64" s="1">
        <v>35</v>
      </c>
      <c r="D64" s="1">
        <v>39</v>
      </c>
      <c r="E64" s="38">
        <f>D64*$F$4+$E$5</f>
        <v>152.83124999999998</v>
      </c>
      <c r="F64" s="38">
        <f>E64/$E$4</f>
        <v>40.43154761904761</v>
      </c>
      <c r="G64" s="38">
        <f>E64-E63</f>
        <v>47.02499999999999</v>
      </c>
      <c r="H64" s="38">
        <f>G64/$E$4</f>
        <v>12.440476190476188</v>
      </c>
      <c r="I64" s="1">
        <v>24</v>
      </c>
      <c r="J64" s="38">
        <f>(G64/I64)*24</f>
        <v>47.02499999999999</v>
      </c>
      <c r="K64" s="38">
        <f>J64/$E$4</f>
        <v>12.440476190476188</v>
      </c>
      <c r="L64" s="1">
        <v>7</v>
      </c>
      <c r="M64" s="38">
        <f>J64/L64</f>
        <v>6.717857142857142</v>
      </c>
      <c r="N64" s="38">
        <f>M64/$E$4</f>
        <v>1.7772108843537413</v>
      </c>
    </row>
    <row r="65" spans="1:15" ht="15">
      <c r="A65" s="35">
        <v>39963</v>
      </c>
      <c r="B65" s="1">
        <v>9</v>
      </c>
      <c r="C65" s="1">
        <v>35</v>
      </c>
      <c r="D65" s="1">
        <v>0</v>
      </c>
      <c r="E65" s="38">
        <f>D65*$F$4+$E$5</f>
        <v>0</v>
      </c>
      <c r="F65" s="38">
        <f>E65/$E$4</f>
        <v>0</v>
      </c>
      <c r="G65" s="38"/>
      <c r="H65" s="38"/>
      <c r="I65" s="1">
        <v>1</v>
      </c>
      <c r="J65" s="38"/>
      <c r="K65" s="38"/>
      <c r="L65" s="1">
        <v>7</v>
      </c>
      <c r="M65" s="38"/>
      <c r="N65" s="38"/>
      <c r="O65" t="s">
        <v>63</v>
      </c>
    </row>
    <row r="66" spans="1:14" ht="15">
      <c r="A66" s="35">
        <v>39964</v>
      </c>
      <c r="B66" s="1">
        <v>8</v>
      </c>
      <c r="C66" s="1">
        <v>40</v>
      </c>
      <c r="D66" s="1">
        <v>10</v>
      </c>
      <c r="E66" s="38">
        <f>D66*$F$4+$E$5</f>
        <v>39.1875</v>
      </c>
      <c r="F66" s="38">
        <f>E66/$E$4</f>
        <v>10.367063492063492</v>
      </c>
      <c r="G66" s="38">
        <f>E66-E65</f>
        <v>39.1875</v>
      </c>
      <c r="H66" s="38">
        <f>G66/$E$4</f>
        <v>10.367063492063492</v>
      </c>
      <c r="I66" s="1">
        <v>24</v>
      </c>
      <c r="J66" s="38">
        <f>(G66/I66)*24</f>
        <v>39.1875</v>
      </c>
      <c r="K66" s="38">
        <f>J66/$E$4</f>
        <v>10.367063492063492</v>
      </c>
      <c r="L66" s="1">
        <v>7</v>
      </c>
      <c r="M66" s="38">
        <f>J66/L66</f>
        <v>5.598214285714286</v>
      </c>
      <c r="N66" s="38">
        <f>M66/$E$4</f>
        <v>1.4810090702947847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120" zoomScaleNormal="120" zoomScalePageLayoutView="0" workbookViewId="0" topLeftCell="A1">
      <pane ySplit="8" topLeftCell="A35" activePane="bottomLeft" state="frozen"/>
      <selection pane="topLeft" activeCell="F1" sqref="F1"/>
      <selection pane="bottomLeft" activeCell="J4" sqref="J4"/>
    </sheetView>
  </sheetViews>
  <sheetFormatPr defaultColWidth="8.7109375" defaultRowHeight="15"/>
  <cols>
    <col min="1" max="1" width="10.57421875" style="50" customWidth="1"/>
    <col min="2" max="2" width="11.7109375" style="51" customWidth="1"/>
    <col min="3" max="4" width="8.57421875" style="1" customWidth="1"/>
    <col min="5" max="6" width="11.140625" style="1" customWidth="1"/>
    <col min="7" max="7" width="12.421875" style="1" customWidth="1"/>
    <col min="8" max="9" width="11.8515625" style="0" customWidth="1"/>
    <col min="10" max="10" width="18.421875" style="0" customWidth="1"/>
    <col min="11" max="12" width="18.421875" style="1" customWidth="1"/>
    <col min="13" max="13" width="18.421875" style="18" customWidth="1"/>
    <col min="14" max="14" width="18.421875" style="0" customWidth="1"/>
  </cols>
  <sheetData>
    <row r="1" spans="1:13" ht="15">
      <c r="A1" s="52" t="s">
        <v>64</v>
      </c>
      <c r="B1" s="53"/>
      <c r="C1"/>
      <c r="D1"/>
      <c r="E1"/>
      <c r="F1"/>
      <c r="G1"/>
      <c r="K1"/>
      <c r="L1"/>
      <c r="M1"/>
    </row>
    <row r="2" spans="1:13" ht="15">
      <c r="A2" s="52"/>
      <c r="B2" s="53"/>
      <c r="C2"/>
      <c r="D2"/>
      <c r="E2"/>
      <c r="F2"/>
      <c r="G2"/>
      <c r="K2"/>
      <c r="L2"/>
      <c r="M2"/>
    </row>
    <row r="3" spans="1:13" ht="15">
      <c r="A3" s="52" t="s">
        <v>65</v>
      </c>
      <c r="B3" s="53"/>
      <c r="C3"/>
      <c r="D3"/>
      <c r="E3"/>
      <c r="F3"/>
      <c r="G3"/>
      <c r="K3" t="s">
        <v>66</v>
      </c>
      <c r="L3"/>
      <c r="M3"/>
    </row>
    <row r="4" spans="1:13" ht="15">
      <c r="A4" s="54" t="s">
        <v>67</v>
      </c>
      <c r="B4" s="55">
        <v>48</v>
      </c>
      <c r="C4" t="s">
        <v>68</v>
      </c>
      <c r="D4"/>
      <c r="E4"/>
      <c r="F4"/>
      <c r="G4"/>
      <c r="K4"/>
      <c r="L4"/>
      <c r="M4"/>
    </row>
    <row r="5" spans="1:13" ht="15">
      <c r="A5" s="54" t="s">
        <v>69</v>
      </c>
      <c r="B5" s="55">
        <v>1.1</v>
      </c>
      <c r="C5" t="s">
        <v>70</v>
      </c>
      <c r="D5"/>
      <c r="E5"/>
      <c r="F5"/>
      <c r="G5"/>
      <c r="K5"/>
      <c r="L5"/>
      <c r="M5"/>
    </row>
    <row r="6" spans="1:13" ht="15">
      <c r="A6" s="56"/>
      <c r="B6" s="53"/>
      <c r="C6" s="26"/>
      <c r="D6" s="26"/>
      <c r="E6" s="57" t="s">
        <v>71</v>
      </c>
      <c r="F6" s="26"/>
      <c r="G6" s="2" t="s">
        <v>72</v>
      </c>
      <c r="I6" s="26"/>
      <c r="J6" s="26"/>
      <c r="K6" s="26"/>
      <c r="L6" s="26"/>
      <c r="M6" s="26"/>
    </row>
    <row r="7" spans="1:256" s="2" customFormat="1" ht="60">
      <c r="A7" s="52" t="s">
        <v>17</v>
      </c>
      <c r="B7" s="52" t="s">
        <v>18</v>
      </c>
      <c r="C7" s="57" t="s">
        <v>73</v>
      </c>
      <c r="D7" s="57"/>
      <c r="E7" s="57" t="s">
        <v>74</v>
      </c>
      <c r="F7" s="57" t="s">
        <v>75</v>
      </c>
      <c r="G7" s="34" t="s">
        <v>76</v>
      </c>
      <c r="H7" s="34" t="s">
        <v>77</v>
      </c>
      <c r="I7" s="58" t="s">
        <v>78</v>
      </c>
      <c r="J7" s="57" t="s">
        <v>79</v>
      </c>
      <c r="K7" s="57" t="s">
        <v>80</v>
      </c>
      <c r="L7" s="57" t="s">
        <v>80</v>
      </c>
      <c r="M7" s="57" t="s">
        <v>81</v>
      </c>
      <c r="N7" s="2" t="s">
        <v>27</v>
      </c>
      <c r="IV7"/>
    </row>
    <row r="8" spans="1:256" s="2" customFormat="1" ht="15">
      <c r="A8" s="52"/>
      <c r="B8" s="52"/>
      <c r="C8" s="59" t="s">
        <v>82</v>
      </c>
      <c r="D8" s="59" t="s">
        <v>29</v>
      </c>
      <c r="E8" s="32" t="s">
        <v>83</v>
      </c>
      <c r="F8" s="32" t="s">
        <v>83</v>
      </c>
      <c r="G8" s="32" t="s">
        <v>84</v>
      </c>
      <c r="H8" s="32" t="s">
        <v>83</v>
      </c>
      <c r="I8" s="59" t="s">
        <v>85</v>
      </c>
      <c r="J8" s="59" t="s">
        <v>85</v>
      </c>
      <c r="K8" s="59" t="s">
        <v>84</v>
      </c>
      <c r="L8" s="59" t="s">
        <v>83</v>
      </c>
      <c r="M8" s="59" t="s">
        <v>84</v>
      </c>
      <c r="IV8"/>
    </row>
    <row r="9" spans="1:14" ht="15">
      <c r="A9" s="50">
        <v>39923</v>
      </c>
      <c r="B9" s="51">
        <v>0.375</v>
      </c>
      <c r="C9" s="20">
        <v>189</v>
      </c>
      <c r="D9" s="20">
        <v>45</v>
      </c>
      <c r="E9" s="20">
        <v>0</v>
      </c>
      <c r="F9" s="20">
        <v>0</v>
      </c>
      <c r="G9" s="20">
        <v>24127.8</v>
      </c>
      <c r="H9" s="26"/>
      <c r="I9" s="26">
        <v>0</v>
      </c>
      <c r="J9" s="26">
        <v>0</v>
      </c>
      <c r="K9" s="20">
        <v>0</v>
      </c>
      <c r="L9" s="20">
        <f>K9*48/1000</f>
        <v>0</v>
      </c>
      <c r="M9" s="20" t="s">
        <v>86</v>
      </c>
      <c r="N9" t="s">
        <v>87</v>
      </c>
    </row>
    <row r="10" spans="1:13" ht="15">
      <c r="A10" s="50">
        <v>39924</v>
      </c>
      <c r="B10" s="51">
        <v>0.375</v>
      </c>
      <c r="C10" s="1">
        <v>193</v>
      </c>
      <c r="D10" s="1">
        <v>1</v>
      </c>
      <c r="E10" s="1">
        <v>14.78</v>
      </c>
      <c r="F10" s="1">
        <v>12.37</v>
      </c>
      <c r="G10" s="1">
        <v>24249.7</v>
      </c>
      <c r="H10" s="49">
        <f aca="true" t="shared" si="0" ref="H10:H35">E10+F10+H9</f>
        <v>27.15</v>
      </c>
      <c r="I10" s="49">
        <f aca="true" t="shared" si="1" ref="I10:I45">IF(D10&gt;=D9,((C10-C9)+(D10-D9)/60)*$B$5,((C10-C9-1)+(60-D9+D10)/60)*$B$5)</f>
        <v>3.5933333333333337</v>
      </c>
      <c r="J10" s="49">
        <f aca="true" t="shared" si="2" ref="J10:J45">I10+J9</f>
        <v>3.5933333333333337</v>
      </c>
      <c r="K10" s="1">
        <v>124.3</v>
      </c>
      <c r="L10" s="20">
        <f aca="true" t="shared" si="3" ref="L10:L46">K10*48/1000</f>
        <v>5.966399999999999</v>
      </c>
      <c r="M10" s="18">
        <v>28197.1</v>
      </c>
    </row>
    <row r="11" spans="1:13" ht="15">
      <c r="A11" s="50">
        <v>39925</v>
      </c>
      <c r="B11" s="51">
        <v>0.3645833333333333</v>
      </c>
      <c r="C11" s="1">
        <v>193</v>
      </c>
      <c r="D11" s="1">
        <v>35</v>
      </c>
      <c r="E11" s="1">
        <v>3.15</v>
      </c>
      <c r="F11" s="1">
        <v>0.48</v>
      </c>
      <c r="G11" s="1">
        <v>24319.8</v>
      </c>
      <c r="H11" s="49">
        <f t="shared" si="0"/>
        <v>30.779999999999998</v>
      </c>
      <c r="I11" s="49">
        <f t="shared" si="1"/>
        <v>0.6233333333333334</v>
      </c>
      <c r="J11" s="49">
        <f t="shared" si="2"/>
        <v>4.216666666666667</v>
      </c>
      <c r="K11" s="1">
        <v>206.2</v>
      </c>
      <c r="L11" s="20">
        <f t="shared" si="3"/>
        <v>9.897599999999999</v>
      </c>
      <c r="M11" s="18">
        <v>28279</v>
      </c>
    </row>
    <row r="12" spans="1:13" ht="15">
      <c r="A12" s="50">
        <v>39926</v>
      </c>
      <c r="B12" s="51">
        <v>0.3645833333333333</v>
      </c>
      <c r="C12" s="1">
        <v>195</v>
      </c>
      <c r="D12" s="1">
        <v>40</v>
      </c>
      <c r="E12" s="1">
        <v>11.66</v>
      </c>
      <c r="F12" s="1">
        <v>9.01</v>
      </c>
      <c r="G12" s="1">
        <v>24424.8</v>
      </c>
      <c r="H12" s="49">
        <f t="shared" si="0"/>
        <v>51.45</v>
      </c>
      <c r="I12" s="49">
        <f t="shared" si="1"/>
        <v>2.291666666666667</v>
      </c>
      <c r="J12" s="49">
        <f t="shared" si="2"/>
        <v>6.508333333333334</v>
      </c>
      <c r="K12" s="1">
        <v>349.7</v>
      </c>
      <c r="L12" s="20">
        <f t="shared" si="3"/>
        <v>16.7856</v>
      </c>
      <c r="M12" s="18">
        <v>28422.5</v>
      </c>
    </row>
    <row r="13" spans="1:13" ht="15">
      <c r="A13" s="50">
        <v>39927</v>
      </c>
      <c r="B13" s="51">
        <v>0.3611111111111111</v>
      </c>
      <c r="C13" s="1">
        <v>198</v>
      </c>
      <c r="D13" s="1">
        <v>25</v>
      </c>
      <c r="E13" s="1">
        <v>15.29</v>
      </c>
      <c r="F13" s="1">
        <v>12.33</v>
      </c>
      <c r="G13" s="1">
        <v>24525.2</v>
      </c>
      <c r="H13" s="49">
        <f t="shared" si="0"/>
        <v>79.07</v>
      </c>
      <c r="I13" s="49">
        <f t="shared" si="1"/>
        <v>3.0250000000000004</v>
      </c>
      <c r="J13" s="49">
        <f t="shared" si="2"/>
        <v>9.533333333333335</v>
      </c>
      <c r="K13" s="1">
        <v>528.5</v>
      </c>
      <c r="L13" s="20">
        <f t="shared" si="3"/>
        <v>25.368</v>
      </c>
      <c r="M13" s="18">
        <v>28601.3</v>
      </c>
    </row>
    <row r="14" spans="1:13" ht="15">
      <c r="A14" s="50">
        <v>39928</v>
      </c>
      <c r="B14" s="51">
        <v>0.3715277777777778</v>
      </c>
      <c r="C14" s="1">
        <v>199</v>
      </c>
      <c r="D14" s="1">
        <v>35</v>
      </c>
      <c r="E14" s="1">
        <v>7.04</v>
      </c>
      <c r="F14" s="1">
        <v>3.96</v>
      </c>
      <c r="G14" s="1">
        <v>24625.2</v>
      </c>
      <c r="H14" s="49">
        <f t="shared" si="0"/>
        <v>90.07</v>
      </c>
      <c r="I14" s="49">
        <f t="shared" si="1"/>
        <v>1.2833333333333334</v>
      </c>
      <c r="J14" s="49">
        <f t="shared" si="2"/>
        <v>10.816666666666668</v>
      </c>
      <c r="K14" s="1">
        <v>649.3</v>
      </c>
      <c r="L14" s="20">
        <f t="shared" si="3"/>
        <v>31.1664</v>
      </c>
      <c r="M14" s="18">
        <v>28722.1</v>
      </c>
    </row>
    <row r="15" spans="1:13" ht="15">
      <c r="A15" s="50">
        <v>39929</v>
      </c>
      <c r="B15" s="51">
        <v>0.4305555555555556</v>
      </c>
      <c r="C15" s="1">
        <v>201</v>
      </c>
      <c r="D15" s="1">
        <v>3</v>
      </c>
      <c r="E15" s="70">
        <f>F15+3</f>
        <v>10.33</v>
      </c>
      <c r="F15" s="1">
        <v>7.33</v>
      </c>
      <c r="G15" s="1">
        <v>24760.2</v>
      </c>
      <c r="H15" s="49">
        <f t="shared" si="0"/>
        <v>107.72999999999999</v>
      </c>
      <c r="I15" s="49">
        <f t="shared" si="1"/>
        <v>1.6133333333333335</v>
      </c>
      <c r="J15" s="49">
        <f t="shared" si="2"/>
        <v>12.430000000000001</v>
      </c>
      <c r="K15" s="1">
        <v>685.1</v>
      </c>
      <c r="L15" s="20">
        <f t="shared" si="3"/>
        <v>32.884800000000006</v>
      </c>
      <c r="M15" s="18">
        <v>28757.9</v>
      </c>
    </row>
    <row r="16" spans="1:14" ht="15">
      <c r="A16" s="50">
        <v>39930</v>
      </c>
      <c r="B16" s="51">
        <v>0.3472222222222222</v>
      </c>
      <c r="C16" s="1">
        <v>203</v>
      </c>
      <c r="D16" s="1">
        <v>58</v>
      </c>
      <c r="E16" s="70">
        <f>F16+3</f>
        <v>17.42</v>
      </c>
      <c r="F16" s="1">
        <v>14.42</v>
      </c>
      <c r="G16" s="1">
        <v>24795.4</v>
      </c>
      <c r="H16" s="49">
        <f t="shared" si="0"/>
        <v>139.57</v>
      </c>
      <c r="I16" s="49">
        <f t="shared" si="1"/>
        <v>3.2083333333333335</v>
      </c>
      <c r="J16" s="49">
        <f t="shared" si="2"/>
        <v>15.638333333333335</v>
      </c>
      <c r="K16" s="1">
        <v>812.1</v>
      </c>
      <c r="L16" s="20">
        <f t="shared" si="3"/>
        <v>38.9808</v>
      </c>
      <c r="M16" s="18">
        <v>28884.9</v>
      </c>
      <c r="N16" t="s">
        <v>88</v>
      </c>
    </row>
    <row r="17" spans="1:13" ht="15">
      <c r="A17" s="50">
        <v>39931</v>
      </c>
      <c r="B17" s="51">
        <v>0.3645833333333333</v>
      </c>
      <c r="C17" s="1">
        <v>210</v>
      </c>
      <c r="D17" s="1">
        <v>49</v>
      </c>
      <c r="E17" s="1">
        <v>35.5</v>
      </c>
      <c r="F17" s="71">
        <v>33.68</v>
      </c>
      <c r="G17" s="1">
        <v>24865.4</v>
      </c>
      <c r="H17" s="49">
        <f t="shared" si="0"/>
        <v>208.75</v>
      </c>
      <c r="I17" s="49">
        <f t="shared" si="1"/>
        <v>7.535</v>
      </c>
      <c r="J17" s="49">
        <f t="shared" si="2"/>
        <v>23.173333333333336</v>
      </c>
      <c r="K17" s="1">
        <v>1011.4</v>
      </c>
      <c r="L17" s="20">
        <f t="shared" si="3"/>
        <v>48.5472</v>
      </c>
      <c r="M17" s="18">
        <v>29084.2</v>
      </c>
    </row>
    <row r="18" spans="1:14" ht="15">
      <c r="A18" s="50">
        <v>39932</v>
      </c>
      <c r="B18" s="51">
        <v>0.375</v>
      </c>
      <c r="C18" s="1">
        <v>216</v>
      </c>
      <c r="D18" s="1">
        <v>23</v>
      </c>
      <c r="E18" s="1">
        <v>28.7</v>
      </c>
      <c r="F18" s="1">
        <v>26.2</v>
      </c>
      <c r="G18" s="1">
        <v>24921.8</v>
      </c>
      <c r="H18" s="49">
        <f t="shared" si="0"/>
        <v>263.65</v>
      </c>
      <c r="I18" s="49">
        <f t="shared" si="1"/>
        <v>6.123333333333334</v>
      </c>
      <c r="J18" s="49">
        <f t="shared" si="2"/>
        <v>29.29666666666667</v>
      </c>
      <c r="K18" s="1">
        <v>1103.1</v>
      </c>
      <c r="L18" s="20">
        <f t="shared" si="3"/>
        <v>52.9488</v>
      </c>
      <c r="M18" s="18">
        <v>29175.9</v>
      </c>
      <c r="N18" t="s">
        <v>89</v>
      </c>
    </row>
    <row r="19" spans="1:13" ht="15">
      <c r="A19" s="50">
        <v>39933</v>
      </c>
      <c r="B19" s="51">
        <v>8.3</v>
      </c>
      <c r="C19" s="1">
        <v>219</v>
      </c>
      <c r="D19" s="1">
        <v>1</v>
      </c>
      <c r="E19" s="1">
        <v>10.55</v>
      </c>
      <c r="F19" s="1">
        <v>7.93</v>
      </c>
      <c r="G19" s="1">
        <v>250998</v>
      </c>
      <c r="H19" s="49">
        <f t="shared" si="0"/>
        <v>282.13</v>
      </c>
      <c r="I19" s="49">
        <f t="shared" si="1"/>
        <v>2.896666666666667</v>
      </c>
      <c r="J19" s="49">
        <f t="shared" si="2"/>
        <v>32.193333333333335</v>
      </c>
      <c r="K19" s="1">
        <v>1191.1</v>
      </c>
      <c r="L19" s="20">
        <f t="shared" si="3"/>
        <v>57.172799999999995</v>
      </c>
      <c r="M19" s="18">
        <v>29263.9</v>
      </c>
    </row>
    <row r="20" spans="1:13" ht="15">
      <c r="A20" s="50">
        <v>39934</v>
      </c>
      <c r="B20" s="51">
        <v>0.3611111111111111</v>
      </c>
      <c r="C20" s="1">
        <v>220</v>
      </c>
      <c r="D20" s="1">
        <v>32</v>
      </c>
      <c r="E20" s="1">
        <v>7.99</v>
      </c>
      <c r="F20" s="1">
        <v>5.16</v>
      </c>
      <c r="G20" s="1">
        <v>25178</v>
      </c>
      <c r="H20" s="49">
        <f t="shared" si="0"/>
        <v>295.28</v>
      </c>
      <c r="I20" s="49">
        <f t="shared" si="1"/>
        <v>1.6683333333333334</v>
      </c>
      <c r="J20" s="49">
        <f t="shared" si="2"/>
        <v>33.86166666666667</v>
      </c>
      <c r="K20" s="1">
        <v>1298.4</v>
      </c>
      <c r="L20" s="20">
        <f t="shared" si="3"/>
        <v>62.32320000000001</v>
      </c>
      <c r="M20" s="18">
        <v>29371.2</v>
      </c>
    </row>
    <row r="21" spans="1:13" ht="15">
      <c r="A21" s="50">
        <v>39935</v>
      </c>
      <c r="B21" s="51">
        <v>0.3645833333333333</v>
      </c>
      <c r="C21" s="1">
        <v>222</v>
      </c>
      <c r="D21" s="1">
        <v>56</v>
      </c>
      <c r="E21" s="1">
        <v>12.69</v>
      </c>
      <c r="F21" s="1">
        <v>9.46</v>
      </c>
      <c r="G21" s="1">
        <v>25263</v>
      </c>
      <c r="H21" s="49">
        <f t="shared" si="0"/>
        <v>317.42999999999995</v>
      </c>
      <c r="I21" s="49">
        <f t="shared" si="1"/>
        <v>2.64</v>
      </c>
      <c r="J21" s="49">
        <f t="shared" si="2"/>
        <v>36.50166666666667</v>
      </c>
      <c r="K21" s="1">
        <v>1378.7</v>
      </c>
      <c r="L21" s="20">
        <f t="shared" si="3"/>
        <v>66.17760000000001</v>
      </c>
      <c r="M21" s="18">
        <v>29451.5</v>
      </c>
    </row>
    <row r="22" spans="1:13" ht="15">
      <c r="A22" s="50">
        <v>39935</v>
      </c>
      <c r="B22" s="51">
        <v>0.34375</v>
      </c>
      <c r="C22" s="1">
        <v>227</v>
      </c>
      <c r="D22" s="1">
        <v>55</v>
      </c>
      <c r="E22" s="1">
        <v>25.4</v>
      </c>
      <c r="F22" s="1">
        <v>23.7</v>
      </c>
      <c r="G22" s="1">
        <v>1506.8</v>
      </c>
      <c r="H22" s="49">
        <f t="shared" si="0"/>
        <v>366.53</v>
      </c>
      <c r="I22" s="49">
        <f t="shared" si="1"/>
        <v>5.481666666666667</v>
      </c>
      <c r="J22" s="49">
        <f t="shared" si="2"/>
        <v>41.98333333333334</v>
      </c>
      <c r="K22" s="1">
        <v>1498.9</v>
      </c>
      <c r="L22" s="20">
        <f t="shared" si="3"/>
        <v>71.94720000000001</v>
      </c>
      <c r="M22" s="18">
        <v>29571.7</v>
      </c>
    </row>
    <row r="23" spans="1:14" ht="15">
      <c r="A23" s="60" t="s">
        <v>45</v>
      </c>
      <c r="C23" s="1">
        <v>227</v>
      </c>
      <c r="D23" s="1">
        <v>55</v>
      </c>
      <c r="E23" s="1">
        <v>25.4</v>
      </c>
      <c r="F23" s="1">
        <v>23.7</v>
      </c>
      <c r="G23" s="1">
        <v>1506.8</v>
      </c>
      <c r="H23" s="49">
        <f t="shared" si="0"/>
        <v>415.63</v>
      </c>
      <c r="I23" s="49">
        <f t="shared" si="1"/>
        <v>0</v>
      </c>
      <c r="J23" s="49">
        <f t="shared" si="2"/>
        <v>41.98333333333334</v>
      </c>
      <c r="L23" s="20">
        <f t="shared" si="3"/>
        <v>0</v>
      </c>
      <c r="N23" t="s">
        <v>90</v>
      </c>
    </row>
    <row r="24" spans="1:13" ht="15">
      <c r="A24" s="50">
        <v>39943</v>
      </c>
      <c r="B24" s="51">
        <v>0.5729166666666666</v>
      </c>
      <c r="C24" s="1">
        <v>237</v>
      </c>
      <c r="D24" s="1">
        <v>44</v>
      </c>
      <c r="E24" s="1">
        <v>0</v>
      </c>
      <c r="F24" s="1">
        <v>0</v>
      </c>
      <c r="G24" s="1">
        <v>25568.3</v>
      </c>
      <c r="H24" s="49">
        <f t="shared" si="0"/>
        <v>415.63</v>
      </c>
      <c r="I24" s="49">
        <f t="shared" si="1"/>
        <v>10.798333333333334</v>
      </c>
      <c r="J24" s="49">
        <f t="shared" si="2"/>
        <v>52.78166666666667</v>
      </c>
      <c r="K24" s="1">
        <v>1715.5</v>
      </c>
      <c r="L24" s="20">
        <f t="shared" si="3"/>
        <v>82.344</v>
      </c>
      <c r="M24" s="18">
        <v>29788.3</v>
      </c>
    </row>
    <row r="25" spans="1:13" ht="15">
      <c r="A25" s="50">
        <v>39944</v>
      </c>
      <c r="B25" s="51">
        <v>0.3541666666666667</v>
      </c>
      <c r="C25" s="1">
        <v>242</v>
      </c>
      <c r="D25" s="1">
        <v>16</v>
      </c>
      <c r="E25" s="1">
        <v>23.8</v>
      </c>
      <c r="F25" s="1">
        <v>21.3</v>
      </c>
      <c r="G25" s="1">
        <v>25648.3</v>
      </c>
      <c r="H25" s="49">
        <f t="shared" si="0"/>
        <v>460.73</v>
      </c>
      <c r="I25" s="49">
        <f t="shared" si="1"/>
        <v>4.986666666666667</v>
      </c>
      <c r="J25" s="49">
        <f t="shared" si="2"/>
        <v>57.76833333333334</v>
      </c>
      <c r="K25" s="1">
        <v>1852.9</v>
      </c>
      <c r="L25" s="20">
        <f t="shared" si="3"/>
        <v>88.93920000000001</v>
      </c>
      <c r="M25" s="18">
        <v>29925.7</v>
      </c>
    </row>
    <row r="26" spans="1:13" ht="15">
      <c r="A26" s="50">
        <v>39945</v>
      </c>
      <c r="B26" s="51">
        <v>0.3611111111111111</v>
      </c>
      <c r="C26" s="1">
        <v>244</v>
      </c>
      <c r="D26" s="1">
        <v>16</v>
      </c>
      <c r="E26" s="1">
        <v>8</v>
      </c>
      <c r="F26" s="1">
        <v>4.36</v>
      </c>
      <c r="G26" s="1">
        <v>25773.5</v>
      </c>
      <c r="H26" s="49">
        <f t="shared" si="0"/>
        <v>473.09000000000003</v>
      </c>
      <c r="I26" s="49">
        <f t="shared" si="1"/>
        <v>2.2</v>
      </c>
      <c r="J26" s="49">
        <f t="shared" si="2"/>
        <v>59.96833333333334</v>
      </c>
      <c r="K26" s="1">
        <v>1984.2</v>
      </c>
      <c r="L26" s="20">
        <f t="shared" si="3"/>
        <v>95.2416</v>
      </c>
      <c r="M26" s="18">
        <v>30057</v>
      </c>
    </row>
    <row r="27" spans="1:13" ht="15">
      <c r="A27" s="50">
        <v>39946</v>
      </c>
      <c r="B27" s="51">
        <v>0.3541666666666667</v>
      </c>
      <c r="C27" s="1">
        <v>252</v>
      </c>
      <c r="D27" s="1">
        <v>31</v>
      </c>
      <c r="E27" s="1">
        <v>40.4</v>
      </c>
      <c r="F27" s="1">
        <v>36</v>
      </c>
      <c r="G27" s="1">
        <v>25879.3</v>
      </c>
      <c r="H27" s="49">
        <f t="shared" si="0"/>
        <v>549.49</v>
      </c>
      <c r="I27" s="49">
        <f t="shared" si="1"/>
        <v>9.075000000000001</v>
      </c>
      <c r="J27" s="49">
        <f t="shared" si="2"/>
        <v>69.04333333333334</v>
      </c>
      <c r="K27" s="1">
        <v>2178.3</v>
      </c>
      <c r="L27" s="20">
        <f t="shared" si="3"/>
        <v>104.5584</v>
      </c>
      <c r="M27" s="18">
        <v>30251.1</v>
      </c>
    </row>
    <row r="28" spans="1:13" ht="15">
      <c r="A28" s="50">
        <v>39947</v>
      </c>
      <c r="B28" s="51">
        <v>0.3611111111111111</v>
      </c>
      <c r="C28" s="1">
        <v>257</v>
      </c>
      <c r="D28" s="1">
        <v>0</v>
      </c>
      <c r="E28" s="1">
        <v>22.9</v>
      </c>
      <c r="F28" s="1">
        <v>19.16</v>
      </c>
      <c r="G28" s="1">
        <v>25994.3</v>
      </c>
      <c r="H28" s="49">
        <f t="shared" si="0"/>
        <v>591.55</v>
      </c>
      <c r="I28" s="49">
        <f t="shared" si="1"/>
        <v>4.9316666666666675</v>
      </c>
      <c r="J28" s="49">
        <f t="shared" si="2"/>
        <v>73.97500000000001</v>
      </c>
      <c r="K28" s="1">
        <v>2304.2</v>
      </c>
      <c r="L28" s="20">
        <f t="shared" si="3"/>
        <v>110.60159999999999</v>
      </c>
      <c r="M28" s="18">
        <v>30377</v>
      </c>
    </row>
    <row r="29" spans="1:14" ht="15">
      <c r="A29" s="35">
        <v>39947</v>
      </c>
      <c r="B29" s="51">
        <v>0.5173611111111112</v>
      </c>
      <c r="C29" s="1">
        <v>260</v>
      </c>
      <c r="D29" s="1">
        <v>0</v>
      </c>
      <c r="E29" s="1">
        <v>3</v>
      </c>
      <c r="F29" s="1">
        <v>2.14</v>
      </c>
      <c r="H29" s="49">
        <f t="shared" si="0"/>
        <v>596.6899999999999</v>
      </c>
      <c r="I29" s="49">
        <f t="shared" si="1"/>
        <v>3.3000000000000003</v>
      </c>
      <c r="J29" s="49">
        <f t="shared" si="2"/>
        <v>77.275</v>
      </c>
      <c r="L29" s="20">
        <f t="shared" si="3"/>
        <v>0</v>
      </c>
      <c r="M29" s="1"/>
      <c r="N29" t="s">
        <v>91</v>
      </c>
    </row>
    <row r="30" spans="1:13" ht="15">
      <c r="A30" s="50">
        <v>39948</v>
      </c>
      <c r="B30" s="51">
        <v>0.3472222222222222</v>
      </c>
      <c r="C30" s="1">
        <v>263</v>
      </c>
      <c r="D30" s="1">
        <v>26</v>
      </c>
      <c r="E30" s="1">
        <v>4.32</v>
      </c>
      <c r="F30" s="1">
        <v>25.9</v>
      </c>
      <c r="G30" s="1">
        <v>26283.6</v>
      </c>
      <c r="H30" s="49">
        <f t="shared" si="0"/>
        <v>626.91</v>
      </c>
      <c r="I30" s="49">
        <f t="shared" si="1"/>
        <v>3.7766666666666673</v>
      </c>
      <c r="J30" s="49">
        <f t="shared" si="2"/>
        <v>81.05166666666668</v>
      </c>
      <c r="K30" s="1">
        <v>2550.1</v>
      </c>
      <c r="L30" s="20">
        <f t="shared" si="3"/>
        <v>122.4048</v>
      </c>
      <c r="M30" s="18">
        <v>30622.9</v>
      </c>
    </row>
    <row r="31" spans="1:13" ht="15">
      <c r="A31" s="50">
        <v>39949</v>
      </c>
      <c r="B31" s="51">
        <v>0.3576388888888889</v>
      </c>
      <c r="C31" s="1">
        <v>268</v>
      </c>
      <c r="D31" s="1">
        <v>56</v>
      </c>
      <c r="E31" s="1">
        <v>2.82</v>
      </c>
      <c r="F31" s="1">
        <v>3.12</v>
      </c>
      <c r="G31" s="1">
        <v>26665.1</v>
      </c>
      <c r="H31" s="49">
        <f t="shared" si="0"/>
        <v>632.85</v>
      </c>
      <c r="I31" s="49">
        <f t="shared" si="1"/>
        <v>6.050000000000001</v>
      </c>
      <c r="J31" s="49">
        <f t="shared" si="2"/>
        <v>87.10166666666667</v>
      </c>
      <c r="K31" s="1">
        <v>2865.9</v>
      </c>
      <c r="L31" s="20">
        <f t="shared" si="3"/>
        <v>137.56320000000002</v>
      </c>
      <c r="M31" s="18">
        <v>30938.7</v>
      </c>
    </row>
    <row r="32" spans="1:13" ht="15">
      <c r="A32" s="50">
        <v>39950</v>
      </c>
      <c r="B32" s="51">
        <v>0.3611111111111111</v>
      </c>
      <c r="C32" s="1">
        <v>269</v>
      </c>
      <c r="D32" s="1">
        <v>15</v>
      </c>
      <c r="E32" s="1">
        <v>1.17</v>
      </c>
      <c r="F32" s="1">
        <v>1.64</v>
      </c>
      <c r="G32" s="1">
        <v>173.2</v>
      </c>
      <c r="H32" s="49">
        <f t="shared" si="0"/>
        <v>635.66</v>
      </c>
      <c r="I32" s="49">
        <f t="shared" si="1"/>
        <v>0.34833333333333333</v>
      </c>
      <c r="J32" s="49">
        <f t="shared" si="2"/>
        <v>87.45</v>
      </c>
      <c r="K32" s="1">
        <v>2908.5</v>
      </c>
      <c r="L32" s="20">
        <f t="shared" si="3"/>
        <v>139.608</v>
      </c>
      <c r="M32" s="18">
        <v>30981.3</v>
      </c>
    </row>
    <row r="33" spans="1:13" ht="15">
      <c r="A33" s="50">
        <v>39951</v>
      </c>
      <c r="B33" s="51">
        <v>0.34375</v>
      </c>
      <c r="C33" s="1">
        <v>270</v>
      </c>
      <c r="D33" s="1">
        <v>31</v>
      </c>
      <c r="E33" s="1">
        <v>6.55</v>
      </c>
      <c r="F33" s="1">
        <v>5.63</v>
      </c>
      <c r="G33" s="1">
        <v>26745.1</v>
      </c>
      <c r="H33" s="49">
        <f t="shared" si="0"/>
        <v>647.8399999999999</v>
      </c>
      <c r="I33" s="49">
        <f t="shared" si="1"/>
        <v>1.3933333333333333</v>
      </c>
      <c r="J33" s="49">
        <f t="shared" si="2"/>
        <v>88.84333333333333</v>
      </c>
      <c r="K33" s="1">
        <v>3016.4</v>
      </c>
      <c r="L33" s="20">
        <f t="shared" si="3"/>
        <v>144.7872</v>
      </c>
      <c r="M33" s="18">
        <v>31089.2</v>
      </c>
    </row>
    <row r="34" spans="1:13" ht="15">
      <c r="A34" s="50">
        <v>39952</v>
      </c>
      <c r="B34" s="51">
        <v>0.3576388888888889</v>
      </c>
      <c r="C34" s="1">
        <v>273</v>
      </c>
      <c r="D34" s="1">
        <v>13</v>
      </c>
      <c r="E34" s="1">
        <v>3.79</v>
      </c>
      <c r="F34" s="1">
        <v>9.09</v>
      </c>
      <c r="G34" s="1">
        <v>26891.5</v>
      </c>
      <c r="H34" s="49">
        <f t="shared" si="0"/>
        <v>660.7199999999999</v>
      </c>
      <c r="I34" s="49">
        <f t="shared" si="1"/>
        <v>2.9700000000000006</v>
      </c>
      <c r="J34" s="49">
        <f t="shared" si="2"/>
        <v>91.81333333333333</v>
      </c>
      <c r="K34" s="1">
        <v>3167.6</v>
      </c>
      <c r="L34" s="20">
        <f t="shared" si="3"/>
        <v>152.04479999999998</v>
      </c>
      <c r="M34" s="18">
        <v>31240.4</v>
      </c>
    </row>
    <row r="35" spans="1:13" ht="15">
      <c r="A35" s="50">
        <v>39953</v>
      </c>
      <c r="B35" s="51">
        <v>0.3576388888888889</v>
      </c>
      <c r="C35" s="1">
        <v>274</v>
      </c>
      <c r="D35" s="1">
        <v>46</v>
      </c>
      <c r="E35" s="1">
        <v>3.29</v>
      </c>
      <c r="F35" s="1">
        <v>5.34</v>
      </c>
      <c r="G35" s="1">
        <v>27021.5</v>
      </c>
      <c r="H35" s="49">
        <f t="shared" si="0"/>
        <v>669.3499999999999</v>
      </c>
      <c r="I35" s="49">
        <f t="shared" si="1"/>
        <v>1.7050000000000003</v>
      </c>
      <c r="J35" s="49">
        <f t="shared" si="2"/>
        <v>93.51833333333333</v>
      </c>
      <c r="K35" s="1">
        <v>3272.4</v>
      </c>
      <c r="L35" s="20">
        <f t="shared" si="3"/>
        <v>157.07520000000002</v>
      </c>
      <c r="M35" s="18">
        <v>31345.2</v>
      </c>
    </row>
    <row r="36" spans="1:14" ht="15">
      <c r="A36" s="50">
        <v>39954</v>
      </c>
      <c r="B36" s="51">
        <v>0.4027777777777778</v>
      </c>
      <c r="C36" s="1">
        <v>274</v>
      </c>
      <c r="D36" s="1">
        <v>46</v>
      </c>
      <c r="E36" s="1" t="s">
        <v>92</v>
      </c>
      <c r="F36" s="1">
        <v>0.23</v>
      </c>
      <c r="G36" s="1">
        <v>27021.5</v>
      </c>
      <c r="H36" s="72">
        <f>(-0.0124*(L36^2))+(6.7834*L36)-70.567</f>
        <v>697.8860936023041</v>
      </c>
      <c r="I36" s="49">
        <f t="shared" si="1"/>
        <v>0</v>
      </c>
      <c r="J36" s="49">
        <f t="shared" si="2"/>
        <v>93.51833333333333</v>
      </c>
      <c r="K36" s="1">
        <v>3337.4</v>
      </c>
      <c r="L36" s="20">
        <f t="shared" si="3"/>
        <v>160.1952</v>
      </c>
      <c r="M36" s="18">
        <v>31410.2</v>
      </c>
      <c r="N36" t="s">
        <v>93</v>
      </c>
    </row>
    <row r="37" spans="1:14" ht="15">
      <c r="A37" s="50">
        <v>39953</v>
      </c>
      <c r="B37" s="51">
        <v>0.3611111111111111</v>
      </c>
      <c r="C37" s="1">
        <v>275</v>
      </c>
      <c r="D37" s="1">
        <v>41</v>
      </c>
      <c r="E37" s="1" t="s">
        <v>92</v>
      </c>
      <c r="F37" s="1" t="s">
        <v>92</v>
      </c>
      <c r="G37" s="1">
        <v>27106.5</v>
      </c>
      <c r="H37" s="72">
        <f aca="true" t="shared" si="4" ref="H37:H46">(-0.0124*(L37^2))+(6.7834*L37)-70.567</f>
        <v>706.3112209448959</v>
      </c>
      <c r="I37" s="49">
        <f t="shared" si="1"/>
        <v>1.0083333333333333</v>
      </c>
      <c r="J37" s="49">
        <f t="shared" si="2"/>
        <v>94.52666666666667</v>
      </c>
      <c r="K37" s="1">
        <v>3400.7</v>
      </c>
      <c r="L37" s="20">
        <f t="shared" si="3"/>
        <v>163.23359999999997</v>
      </c>
      <c r="M37" s="18">
        <v>31473.5</v>
      </c>
      <c r="N37" t="s">
        <v>94</v>
      </c>
    </row>
    <row r="38" spans="1:13" ht="15">
      <c r="A38" s="50">
        <v>39956</v>
      </c>
      <c r="B38" s="51">
        <v>0.3541666666666667</v>
      </c>
      <c r="C38" s="1">
        <v>280</v>
      </c>
      <c r="D38" s="1">
        <v>20</v>
      </c>
      <c r="E38" s="1" t="s">
        <v>92</v>
      </c>
      <c r="F38" s="1">
        <v>18.28</v>
      </c>
      <c r="G38" s="1">
        <v>27298.1</v>
      </c>
      <c r="H38" s="72">
        <f t="shared" si="4"/>
        <v>724.3536761599998</v>
      </c>
      <c r="I38" s="49">
        <f t="shared" si="1"/>
        <v>5.115000000000001</v>
      </c>
      <c r="J38" s="49">
        <f t="shared" si="2"/>
        <v>99.64166666666667</v>
      </c>
      <c r="K38" s="1">
        <v>3542.5</v>
      </c>
      <c r="L38" s="20">
        <f t="shared" si="3"/>
        <v>170.04</v>
      </c>
      <c r="M38" s="18">
        <v>31615.3</v>
      </c>
    </row>
    <row r="39" spans="1:13" ht="15">
      <c r="A39" s="50">
        <v>39957</v>
      </c>
      <c r="B39" s="51">
        <v>0.3541666666666667</v>
      </c>
      <c r="C39" s="1">
        <v>280</v>
      </c>
      <c r="D39" s="1">
        <v>42</v>
      </c>
      <c r="E39" s="1" t="s">
        <v>92</v>
      </c>
      <c r="F39" s="1">
        <v>0.2</v>
      </c>
      <c r="G39" s="1">
        <v>27338.1</v>
      </c>
      <c r="H39" s="72">
        <f t="shared" si="4"/>
        <v>731.5821938816</v>
      </c>
      <c r="I39" s="49">
        <f t="shared" si="1"/>
        <v>0.4033333333333333</v>
      </c>
      <c r="J39" s="49">
        <f t="shared" si="2"/>
        <v>100.045</v>
      </c>
      <c r="K39" s="1">
        <v>3602</v>
      </c>
      <c r="L39" s="20">
        <f t="shared" si="3"/>
        <v>172.896</v>
      </c>
      <c r="M39" s="18">
        <v>31674.8</v>
      </c>
    </row>
    <row r="40" spans="1:13" ht="15">
      <c r="A40" s="50">
        <v>39958</v>
      </c>
      <c r="B40" s="51">
        <v>0.3611111111111111</v>
      </c>
      <c r="C40" s="1">
        <v>287</v>
      </c>
      <c r="D40" s="1">
        <v>44</v>
      </c>
      <c r="E40" s="1" t="s">
        <v>92</v>
      </c>
      <c r="F40" s="1">
        <v>29.2</v>
      </c>
      <c r="G40" s="1">
        <v>27529.1</v>
      </c>
      <c r="H40" s="72">
        <f t="shared" si="4"/>
        <v>752.0649832893441</v>
      </c>
      <c r="I40" s="49">
        <f t="shared" si="1"/>
        <v>7.736666666666667</v>
      </c>
      <c r="J40" s="49">
        <f t="shared" si="2"/>
        <v>107.78166666666667</v>
      </c>
      <c r="K40" s="1">
        <v>3780.6</v>
      </c>
      <c r="L40" s="20">
        <f t="shared" si="3"/>
        <v>181.4688</v>
      </c>
      <c r="M40" s="18">
        <v>31853.4</v>
      </c>
    </row>
    <row r="41" spans="1:13" ht="15">
      <c r="A41" s="50">
        <v>39959</v>
      </c>
      <c r="B41" s="51">
        <v>0.3611111111111111</v>
      </c>
      <c r="C41" s="1">
        <v>292</v>
      </c>
      <c r="D41" s="1">
        <v>42</v>
      </c>
      <c r="E41" s="1" t="s">
        <v>92</v>
      </c>
      <c r="F41" s="1">
        <v>20.3</v>
      </c>
      <c r="G41" s="1">
        <v>27670</v>
      </c>
      <c r="H41" s="72">
        <f t="shared" si="4"/>
        <v>770.834429659136</v>
      </c>
      <c r="I41" s="49">
        <f t="shared" si="1"/>
        <v>5.463333333333334</v>
      </c>
      <c r="J41" s="49">
        <f t="shared" si="2"/>
        <v>113.245</v>
      </c>
      <c r="K41" s="1">
        <v>3960.3</v>
      </c>
      <c r="L41" s="20">
        <f t="shared" si="3"/>
        <v>190.09440000000004</v>
      </c>
      <c r="M41" s="18">
        <v>32033.1</v>
      </c>
    </row>
    <row r="42" spans="1:13" ht="15">
      <c r="A42" s="50">
        <v>39960</v>
      </c>
      <c r="B42" s="51" t="s">
        <v>95</v>
      </c>
      <c r="C42" s="1">
        <v>293</v>
      </c>
      <c r="D42" s="1">
        <v>19</v>
      </c>
      <c r="E42" s="1" t="s">
        <v>92</v>
      </c>
      <c r="F42" s="1">
        <v>21.6</v>
      </c>
      <c r="G42" s="1">
        <v>27715</v>
      </c>
      <c r="H42" s="72">
        <f t="shared" si="4"/>
        <v>780.2929001922562</v>
      </c>
      <c r="I42" s="49">
        <f t="shared" si="1"/>
        <v>0.6783333333333335</v>
      </c>
      <c r="J42" s="49">
        <f t="shared" si="2"/>
        <v>113.92333333333333</v>
      </c>
      <c r="K42" s="1">
        <v>4058.3</v>
      </c>
      <c r="L42" s="20">
        <f t="shared" si="3"/>
        <v>194.79840000000002</v>
      </c>
      <c r="M42" s="18">
        <v>32131.1</v>
      </c>
    </row>
    <row r="43" spans="1:13" ht="15">
      <c r="A43" s="50">
        <v>39961</v>
      </c>
      <c r="B43" s="51">
        <v>0.3541666666666667</v>
      </c>
      <c r="C43" s="1">
        <v>297</v>
      </c>
      <c r="D43" s="1">
        <v>21</v>
      </c>
      <c r="E43" s="1" t="s">
        <v>92</v>
      </c>
      <c r="F43" s="1">
        <v>12.69</v>
      </c>
      <c r="G43" s="1">
        <v>27975.6</v>
      </c>
      <c r="H43" s="72">
        <f t="shared" si="4"/>
        <v>798.6641297500161</v>
      </c>
      <c r="I43" s="49">
        <f t="shared" si="1"/>
        <v>4.4366666666666665</v>
      </c>
      <c r="J43" s="49">
        <f t="shared" si="2"/>
        <v>118.36</v>
      </c>
      <c r="K43" s="1">
        <v>4267.7</v>
      </c>
      <c r="L43" s="20">
        <f t="shared" si="3"/>
        <v>204.84959999999998</v>
      </c>
      <c r="M43" s="18">
        <v>32340.5</v>
      </c>
    </row>
    <row r="44" spans="1:13" ht="15">
      <c r="A44" s="50">
        <v>39962</v>
      </c>
      <c r="B44" s="51">
        <v>0.3576388888888889</v>
      </c>
      <c r="C44" s="1">
        <v>300</v>
      </c>
      <c r="D44" s="1">
        <v>51</v>
      </c>
      <c r="E44" s="1" t="s">
        <v>92</v>
      </c>
      <c r="F44" s="1">
        <v>12.88</v>
      </c>
      <c r="G44" s="1">
        <v>28230.6</v>
      </c>
      <c r="H44" s="72">
        <f t="shared" si="4"/>
        <v>817.8338787568639</v>
      </c>
      <c r="I44" s="49">
        <f t="shared" si="1"/>
        <v>3.8500000000000005</v>
      </c>
      <c r="J44" s="49">
        <f t="shared" si="2"/>
        <v>122.21</v>
      </c>
      <c r="K44" s="1">
        <v>4525.4</v>
      </c>
      <c r="L44" s="20">
        <f t="shared" si="3"/>
        <v>217.21919999999997</v>
      </c>
      <c r="M44" s="18">
        <v>32598.2</v>
      </c>
    </row>
    <row r="45" spans="1:13" ht="15">
      <c r="A45" s="50">
        <v>39963</v>
      </c>
      <c r="B45" s="51">
        <v>0.3576388888888889</v>
      </c>
      <c r="C45" s="1">
        <v>303</v>
      </c>
      <c r="D45" s="1">
        <v>50</v>
      </c>
      <c r="E45" s="1" t="s">
        <v>92</v>
      </c>
      <c r="F45" s="1">
        <v>10.98</v>
      </c>
      <c r="G45" s="1">
        <v>28330.6</v>
      </c>
      <c r="H45" s="72">
        <f t="shared" si="4"/>
        <v>825.085335117824</v>
      </c>
      <c r="I45" s="49">
        <f t="shared" si="1"/>
        <v>3.281666666666667</v>
      </c>
      <c r="J45" s="49">
        <f t="shared" si="2"/>
        <v>125.49166666666666</v>
      </c>
      <c r="K45" s="1">
        <v>4639.1</v>
      </c>
      <c r="L45" s="20">
        <f t="shared" si="3"/>
        <v>222.67680000000001</v>
      </c>
      <c r="M45" s="18">
        <v>32711.9</v>
      </c>
    </row>
    <row r="46" spans="1:13" ht="15">
      <c r="A46" s="50">
        <v>39964</v>
      </c>
      <c r="B46" s="51">
        <v>0.3611111111111111</v>
      </c>
      <c r="C46" s="1">
        <v>308</v>
      </c>
      <c r="D46" s="1">
        <v>30</v>
      </c>
      <c r="E46" s="1" t="s">
        <v>92</v>
      </c>
      <c r="F46" s="1">
        <v>17.9</v>
      </c>
      <c r="G46" s="1">
        <v>28565.9</v>
      </c>
      <c r="H46" s="72">
        <f t="shared" si="4"/>
        <v>836.9661001856001</v>
      </c>
      <c r="I46" s="49">
        <f>IF(D46&gt;=D45,((C46-C45)+(D46-D45)/60)*$B$5,((C46-C45-1)+(60-D45+D46)/60)*$B$5)</f>
        <v>5.133333333333334</v>
      </c>
      <c r="J46" s="49">
        <f>I46+J45</f>
        <v>130.625</v>
      </c>
      <c r="K46" s="1">
        <v>4858</v>
      </c>
      <c r="L46" s="20">
        <f t="shared" si="3"/>
        <v>233.184</v>
      </c>
      <c r="M46" s="18">
        <v>32930.8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landscape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120" zoomScaleNormal="120" zoomScalePageLayoutView="0" workbookViewId="0" topLeftCell="A1">
      <selection activeCell="A1" sqref="A1"/>
    </sheetView>
  </sheetViews>
  <sheetFormatPr defaultColWidth="8.7109375" defaultRowHeight="15"/>
  <cols>
    <col min="1" max="1" width="9.7109375" style="0" customWidth="1"/>
  </cols>
  <sheetData>
    <row r="1" spans="2:4" ht="15">
      <c r="B1" s="61" t="s">
        <v>96</v>
      </c>
      <c r="D1" t="s">
        <v>97</v>
      </c>
    </row>
    <row r="3" spans="1:3" ht="15">
      <c r="A3" t="s">
        <v>98</v>
      </c>
      <c r="B3" t="s">
        <v>99</v>
      </c>
      <c r="C3" t="s">
        <v>100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selection activeCell="A5" sqref="A5"/>
    </sheetView>
  </sheetViews>
  <sheetFormatPr defaultColWidth="8.7109375" defaultRowHeight="15"/>
  <cols>
    <col min="1" max="1" width="11.140625" style="0" customWidth="1"/>
    <col min="2" max="2" width="9.140625" style="0" customWidth="1"/>
    <col min="3" max="5" width="10.57421875" style="0" customWidth="1"/>
  </cols>
  <sheetData>
    <row r="1" spans="1:4" ht="15">
      <c r="A1" s="2"/>
      <c r="B1" s="54" t="s">
        <v>101</v>
      </c>
      <c r="C1" s="2"/>
      <c r="D1" s="2"/>
    </row>
    <row r="2" spans="1:4" ht="15">
      <c r="A2" s="2"/>
      <c r="B2" s="54"/>
      <c r="C2" s="2"/>
      <c r="D2" s="2"/>
    </row>
    <row r="3" spans="1:5" ht="15">
      <c r="A3" s="2"/>
      <c r="B3" s="2"/>
      <c r="C3" s="2" t="s">
        <v>102</v>
      </c>
      <c r="D3" s="2" t="s">
        <v>103</v>
      </c>
      <c r="E3" s="2" t="s">
        <v>104</v>
      </c>
    </row>
    <row r="4" spans="1:5" ht="15">
      <c r="A4" s="2" t="s">
        <v>98</v>
      </c>
      <c r="B4" s="2" t="s">
        <v>99</v>
      </c>
      <c r="C4" s="2" t="s">
        <v>105</v>
      </c>
      <c r="D4" s="2" t="s">
        <v>105</v>
      </c>
      <c r="E4" s="2" t="s">
        <v>105</v>
      </c>
    </row>
    <row r="5" spans="1:2" ht="15">
      <c r="A5" s="62"/>
      <c r="B5" s="63"/>
    </row>
    <row r="6" spans="1:2" ht="15">
      <c r="A6" s="64"/>
      <c r="B6" s="65"/>
    </row>
    <row r="7" spans="1:2" ht="15">
      <c r="A7" s="64"/>
      <c r="B7" s="65"/>
    </row>
    <row r="8" spans="1:2" ht="15">
      <c r="A8" s="62"/>
      <c r="B8" s="66"/>
    </row>
    <row r="9" spans="1:2" ht="15">
      <c r="A9" s="64"/>
      <c r="B9" s="65"/>
    </row>
    <row r="10" spans="1:2" ht="15">
      <c r="A10" s="64"/>
      <c r="B10" s="65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PageLayoutView="0" workbookViewId="0" topLeftCell="B27">
      <selection activeCell="C44" sqref="C44"/>
    </sheetView>
  </sheetViews>
  <sheetFormatPr defaultColWidth="8.7109375" defaultRowHeight="15"/>
  <cols>
    <col min="1" max="1" width="17.00390625" style="0" customWidth="1"/>
    <col min="2" max="2" width="12.28125" style="0" customWidth="1"/>
    <col min="3" max="3" width="12.140625" style="0" customWidth="1"/>
  </cols>
  <sheetData>
    <row r="1" ht="15">
      <c r="A1" s="2" t="s">
        <v>106</v>
      </c>
    </row>
    <row r="2" spans="1:7" ht="15">
      <c r="A2" t="s">
        <v>107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 spans="1:7" ht="15">
      <c r="A3">
        <v>4</v>
      </c>
      <c r="B3">
        <v>4</v>
      </c>
      <c r="C3">
        <v>25</v>
      </c>
      <c r="D3" s="49">
        <f aca="true" t="shared" si="0" ref="D3:D14">B3/C3</f>
        <v>0.16</v>
      </c>
      <c r="E3" s="49">
        <f aca="true" t="shared" si="1" ref="E3:E14">3.8*D3</f>
        <v>0.608</v>
      </c>
      <c r="F3">
        <v>8</v>
      </c>
      <c r="G3" s="49">
        <f aca="true" t="shared" si="2" ref="G3:G14">A3*3.8</f>
        <v>15.2</v>
      </c>
    </row>
    <row r="4" spans="1:7" ht="15">
      <c r="A4">
        <v>7</v>
      </c>
      <c r="B4">
        <v>3</v>
      </c>
      <c r="C4">
        <v>19</v>
      </c>
      <c r="D4" s="49">
        <f t="shared" si="0"/>
        <v>0.15789473684210525</v>
      </c>
      <c r="E4" s="49">
        <f t="shared" si="1"/>
        <v>0.6</v>
      </c>
      <c r="F4">
        <v>11</v>
      </c>
      <c r="G4" s="49">
        <f t="shared" si="2"/>
        <v>26.599999999999998</v>
      </c>
    </row>
    <row r="5" spans="1:7" ht="15">
      <c r="A5">
        <v>10</v>
      </c>
      <c r="B5">
        <v>3</v>
      </c>
      <c r="C5">
        <v>18</v>
      </c>
      <c r="D5" s="49">
        <f t="shared" si="0"/>
        <v>0.16666666666666666</v>
      </c>
      <c r="E5" s="49">
        <f t="shared" si="1"/>
        <v>0.6333333333333333</v>
      </c>
      <c r="F5">
        <v>13.5</v>
      </c>
      <c r="G5" s="49">
        <f t="shared" si="2"/>
        <v>38</v>
      </c>
    </row>
    <row r="6" spans="1:7" ht="15">
      <c r="A6">
        <v>14</v>
      </c>
      <c r="B6">
        <v>4</v>
      </c>
      <c r="C6">
        <v>23</v>
      </c>
      <c r="D6" s="49">
        <f t="shared" si="0"/>
        <v>0.17391304347826086</v>
      </c>
      <c r="E6" s="49">
        <f t="shared" si="1"/>
        <v>0.6608695652173913</v>
      </c>
      <c r="F6">
        <v>16.5</v>
      </c>
      <c r="G6" s="49">
        <f t="shared" si="2"/>
        <v>53.199999999999996</v>
      </c>
    </row>
    <row r="7" spans="1:7" ht="15">
      <c r="A7">
        <v>18</v>
      </c>
      <c r="B7">
        <v>4</v>
      </c>
      <c r="C7">
        <v>23</v>
      </c>
      <c r="D7" s="49">
        <f t="shared" si="0"/>
        <v>0.17391304347826086</v>
      </c>
      <c r="E7" s="49">
        <f t="shared" si="1"/>
        <v>0.6608695652173913</v>
      </c>
      <c r="F7">
        <v>20</v>
      </c>
      <c r="G7" s="49">
        <f t="shared" si="2"/>
        <v>68.39999999999999</v>
      </c>
    </row>
    <row r="8" spans="1:7" ht="15">
      <c r="A8">
        <v>22</v>
      </c>
      <c r="B8">
        <v>4</v>
      </c>
      <c r="C8">
        <v>23</v>
      </c>
      <c r="D8" s="49">
        <f t="shared" si="0"/>
        <v>0.17391304347826086</v>
      </c>
      <c r="E8" s="49">
        <f t="shared" si="1"/>
        <v>0.6608695652173913</v>
      </c>
      <c r="F8">
        <v>24</v>
      </c>
      <c r="G8" s="49">
        <f t="shared" si="2"/>
        <v>83.6</v>
      </c>
    </row>
    <row r="9" spans="1:7" ht="15">
      <c r="A9">
        <v>28</v>
      </c>
      <c r="B9">
        <v>6</v>
      </c>
      <c r="C9">
        <v>37</v>
      </c>
      <c r="D9" s="49">
        <f t="shared" si="0"/>
        <v>0.16216216216216217</v>
      </c>
      <c r="E9" s="49">
        <f t="shared" si="1"/>
        <v>0.6162162162162163</v>
      </c>
      <c r="F9">
        <v>29.5</v>
      </c>
      <c r="G9" s="49">
        <f t="shared" si="2"/>
        <v>106.39999999999999</v>
      </c>
    </row>
    <row r="10" spans="1:7" ht="15">
      <c r="A10">
        <v>30</v>
      </c>
      <c r="B10">
        <v>2</v>
      </c>
      <c r="C10">
        <v>12</v>
      </c>
      <c r="D10" s="49">
        <f t="shared" si="0"/>
        <v>0.16666666666666666</v>
      </c>
      <c r="E10" s="49">
        <f t="shared" si="1"/>
        <v>0.6333333333333333</v>
      </c>
      <c r="F10">
        <v>31</v>
      </c>
      <c r="G10" s="49">
        <f t="shared" si="2"/>
        <v>114</v>
      </c>
    </row>
    <row r="11" spans="1:7" ht="15">
      <c r="A11">
        <v>34</v>
      </c>
      <c r="B11">
        <v>4</v>
      </c>
      <c r="C11">
        <v>24</v>
      </c>
      <c r="D11" s="49">
        <f t="shared" si="0"/>
        <v>0.16666666666666666</v>
      </c>
      <c r="E11" s="49">
        <f t="shared" si="1"/>
        <v>0.6333333333333333</v>
      </c>
      <c r="F11">
        <v>36</v>
      </c>
      <c r="G11" s="49">
        <f t="shared" si="2"/>
        <v>129.2</v>
      </c>
    </row>
    <row r="12" spans="1:7" ht="15">
      <c r="A12">
        <v>35</v>
      </c>
      <c r="B12">
        <v>1</v>
      </c>
      <c r="C12">
        <v>6</v>
      </c>
      <c r="D12" s="49">
        <f t="shared" si="0"/>
        <v>0.16666666666666666</v>
      </c>
      <c r="E12" s="49">
        <f t="shared" si="1"/>
        <v>0.6333333333333333</v>
      </c>
      <c r="F12">
        <v>37.5</v>
      </c>
      <c r="G12" s="49">
        <f t="shared" si="2"/>
        <v>133</v>
      </c>
    </row>
    <row r="13" spans="1:7" ht="15">
      <c r="A13">
        <v>36</v>
      </c>
      <c r="B13">
        <v>1</v>
      </c>
      <c r="C13">
        <v>6</v>
      </c>
      <c r="D13" s="49">
        <f t="shared" si="0"/>
        <v>0.16666666666666666</v>
      </c>
      <c r="E13" s="49">
        <f t="shared" si="1"/>
        <v>0.6333333333333333</v>
      </c>
      <c r="F13">
        <v>39</v>
      </c>
      <c r="G13" s="49">
        <f t="shared" si="2"/>
        <v>136.79999999999998</v>
      </c>
    </row>
    <row r="14" spans="1:7" ht="15">
      <c r="A14">
        <v>37</v>
      </c>
      <c r="B14">
        <v>1</v>
      </c>
      <c r="C14">
        <v>6</v>
      </c>
      <c r="D14" s="49">
        <f t="shared" si="0"/>
        <v>0.16666666666666666</v>
      </c>
      <c r="E14" s="49">
        <f t="shared" si="1"/>
        <v>0.6333333333333333</v>
      </c>
      <c r="F14">
        <v>40</v>
      </c>
      <c r="G14" s="49">
        <f t="shared" si="2"/>
        <v>140.6</v>
      </c>
    </row>
    <row r="15" spans="2:6" ht="15">
      <c r="B15" s="2" t="s">
        <v>114</v>
      </c>
      <c r="C15" s="2"/>
      <c r="D15" s="2">
        <f>AVERAGE(D3:D14)</f>
        <v>0.1668163357865875</v>
      </c>
      <c r="E15" s="2">
        <f>AVERAGE(E3:E14)</f>
        <v>0.6339020759890324</v>
      </c>
      <c r="F15" s="2"/>
    </row>
    <row r="16" spans="1:9" ht="15">
      <c r="A16" s="67" t="s">
        <v>115</v>
      </c>
      <c r="B16" s="2"/>
      <c r="D16" s="2"/>
      <c r="E16" s="2"/>
      <c r="F16" s="54" t="s">
        <v>116</v>
      </c>
      <c r="G16" s="41">
        <f>(G14-G3)/(F14-F3)</f>
        <v>3.9187499999999997</v>
      </c>
      <c r="H16" t="s">
        <v>117</v>
      </c>
      <c r="I16" s="49"/>
    </row>
    <row r="17" spans="1:8" ht="15">
      <c r="A17" t="s">
        <v>118</v>
      </c>
      <c r="B17" s="2"/>
      <c r="C17" s="2"/>
      <c r="D17" s="2"/>
      <c r="E17" s="2"/>
      <c r="F17" s="2"/>
      <c r="G17" s="49">
        <f>G16/3.78</f>
        <v>1.036706349206349</v>
      </c>
      <c r="H17" t="s">
        <v>119</v>
      </c>
    </row>
    <row r="18" spans="1:6" ht="15">
      <c r="A18" t="s">
        <v>120</v>
      </c>
      <c r="B18" s="2"/>
      <c r="C18" s="2"/>
      <c r="D18" s="2"/>
      <c r="E18" s="2"/>
      <c r="F18" s="2"/>
    </row>
    <row r="20" ht="15">
      <c r="A20" s="2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5" spans="1:3" ht="15">
      <c r="A25" t="s">
        <v>125</v>
      </c>
      <c r="B25" t="s">
        <v>126</v>
      </c>
      <c r="C25" t="s">
        <v>127</v>
      </c>
    </row>
    <row r="26" spans="1:3" ht="15">
      <c r="A26">
        <v>5</v>
      </c>
      <c r="B26">
        <v>7.5</v>
      </c>
      <c r="C26" s="49">
        <f aca="true" t="shared" si="3" ref="C26:C44">A26*3.785</f>
        <v>18.925</v>
      </c>
    </row>
    <row r="27" spans="1:3" ht="15">
      <c r="A27">
        <v>10</v>
      </c>
      <c r="B27">
        <v>9.5</v>
      </c>
      <c r="C27" s="49">
        <f t="shared" si="3"/>
        <v>37.85</v>
      </c>
    </row>
    <row r="28" spans="1:3" ht="15">
      <c r="A28">
        <v>15</v>
      </c>
      <c r="B28">
        <v>11</v>
      </c>
      <c r="C28" s="49">
        <f t="shared" si="3"/>
        <v>56.775000000000006</v>
      </c>
    </row>
    <row r="29" spans="1:3" ht="15">
      <c r="A29">
        <v>20</v>
      </c>
      <c r="B29">
        <v>13</v>
      </c>
      <c r="C29" s="49">
        <f t="shared" si="3"/>
        <v>75.7</v>
      </c>
    </row>
    <row r="30" spans="1:3" ht="15">
      <c r="A30">
        <v>30</v>
      </c>
      <c r="B30">
        <v>17</v>
      </c>
      <c r="C30" s="49">
        <f t="shared" si="3"/>
        <v>113.55000000000001</v>
      </c>
    </row>
    <row r="31" spans="1:3" ht="15">
      <c r="A31">
        <v>40</v>
      </c>
      <c r="B31">
        <v>22</v>
      </c>
      <c r="C31" s="49">
        <f t="shared" si="3"/>
        <v>151.4</v>
      </c>
    </row>
    <row r="32" spans="1:3" ht="15">
      <c r="A32">
        <v>50</v>
      </c>
      <c r="B32">
        <v>24</v>
      </c>
      <c r="C32" s="49">
        <f t="shared" si="3"/>
        <v>189.25</v>
      </c>
    </row>
    <row r="33" spans="1:19" ht="15">
      <c r="A33">
        <v>60</v>
      </c>
      <c r="B33">
        <v>27.5</v>
      </c>
      <c r="C33" s="49">
        <f t="shared" si="3"/>
        <v>227.10000000000002</v>
      </c>
      <c r="S33" t="s">
        <v>66</v>
      </c>
    </row>
    <row r="34" spans="1:3" ht="15">
      <c r="A34">
        <v>70</v>
      </c>
      <c r="B34">
        <v>30</v>
      </c>
      <c r="C34" s="49">
        <f t="shared" si="3"/>
        <v>264.95</v>
      </c>
    </row>
    <row r="35" spans="1:3" ht="15">
      <c r="A35">
        <v>80</v>
      </c>
      <c r="B35">
        <v>33</v>
      </c>
      <c r="C35" s="49">
        <f t="shared" si="3"/>
        <v>302.8</v>
      </c>
    </row>
    <row r="36" spans="1:3" ht="15">
      <c r="A36">
        <v>90</v>
      </c>
      <c r="B36">
        <v>38</v>
      </c>
      <c r="C36" s="49">
        <f t="shared" si="3"/>
        <v>340.65000000000003</v>
      </c>
    </row>
    <row r="37" spans="1:19" ht="15">
      <c r="A37">
        <v>100</v>
      </c>
      <c r="B37">
        <v>41</v>
      </c>
      <c r="C37" s="49">
        <f t="shared" si="3"/>
        <v>378.5</v>
      </c>
      <c r="H37" t="s">
        <v>66</v>
      </c>
      <c r="S37" t="s">
        <v>66</v>
      </c>
    </row>
    <row r="38" spans="1:3" ht="15">
      <c r="A38">
        <v>110</v>
      </c>
      <c r="B38">
        <v>45</v>
      </c>
      <c r="C38" s="49">
        <f t="shared" si="3"/>
        <v>416.35</v>
      </c>
    </row>
    <row r="39" spans="1:3" ht="15">
      <c r="A39">
        <v>120</v>
      </c>
      <c r="B39">
        <v>48</v>
      </c>
      <c r="C39" s="49">
        <f t="shared" si="3"/>
        <v>454.20000000000005</v>
      </c>
    </row>
    <row r="40" spans="1:3" ht="15">
      <c r="A40">
        <v>130</v>
      </c>
      <c r="B40">
        <v>51.5</v>
      </c>
      <c r="C40" s="49">
        <f t="shared" si="3"/>
        <v>492.05</v>
      </c>
    </row>
    <row r="41" spans="1:3" ht="15">
      <c r="A41">
        <v>140</v>
      </c>
      <c r="B41">
        <v>55</v>
      </c>
      <c r="C41" s="49">
        <f t="shared" si="3"/>
        <v>529.9</v>
      </c>
    </row>
    <row r="42" spans="1:3" ht="15">
      <c r="A42">
        <v>150</v>
      </c>
      <c r="B42">
        <v>58</v>
      </c>
      <c r="C42" s="49">
        <f t="shared" si="3"/>
        <v>567.75</v>
      </c>
    </row>
    <row r="43" spans="1:3" ht="15">
      <c r="A43">
        <v>160</v>
      </c>
      <c r="B43">
        <v>61</v>
      </c>
      <c r="C43" s="49">
        <f t="shared" si="3"/>
        <v>605.6</v>
      </c>
    </row>
    <row r="44" spans="1:3" ht="15">
      <c r="A44">
        <v>166.7</v>
      </c>
      <c r="B44">
        <v>63</v>
      </c>
      <c r="C44" s="49">
        <f t="shared" si="3"/>
        <v>630.9594999999999</v>
      </c>
    </row>
    <row r="45" spans="1:4" ht="15">
      <c r="A45" s="68" t="s">
        <v>128</v>
      </c>
      <c r="B45" s="41">
        <f>(C43-C26)/(B43-B26)</f>
        <v>10.965887850467292</v>
      </c>
      <c r="C45" t="s">
        <v>117</v>
      </c>
      <c r="D45" s="49"/>
    </row>
    <row r="46" spans="1:4" ht="15">
      <c r="A46" s="68" t="s">
        <v>7</v>
      </c>
      <c r="B46" s="69" t="s">
        <v>129</v>
      </c>
      <c r="C46" t="s">
        <v>16</v>
      </c>
      <c r="D46" s="49"/>
    </row>
    <row r="47" spans="1:3" ht="15">
      <c r="A47" t="s">
        <v>130</v>
      </c>
      <c r="B47" s="49">
        <f>A44*3.785</f>
        <v>630.9594999999999</v>
      </c>
      <c r="C47" t="s">
        <v>16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G18" sqref="G18"/>
    </sheetView>
  </sheetViews>
  <sheetFormatPr defaultColWidth="10.8515625" defaultRowHeight="1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Hilary B. Rollins</cp:lastModifiedBy>
  <dcterms:modified xsi:type="dcterms:W3CDTF">2009-06-02T00:28:56Z</dcterms:modified>
  <cp:category/>
  <cp:version/>
  <cp:contentType/>
  <cp:contentStatus/>
</cp:coreProperties>
</file>