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6420" windowHeight="8200" tabRatio="438" activeTab="0"/>
  </bookViews>
  <sheets>
    <sheet name="Water" sheetId="1" r:id="rId1"/>
    <sheet name="Sewage" sheetId="2" r:id="rId2"/>
    <sheet name="Energy" sheetId="3" r:id="rId3"/>
    <sheet name="Propane and lamp oil" sheetId="4" r:id="rId4"/>
    <sheet name="RecycleWaste" sheetId="5" r:id="rId5"/>
    <sheet name="Calibrations" sheetId="6" r:id="rId6"/>
    <sheet name="Graphs" sheetId="7" r:id="rId7"/>
  </sheets>
  <definedNames>
    <definedName name="Excel_BuiltIn_Print_Area_3_1">'Energy'!$A$1:$F$1</definedName>
    <definedName name="_xlnm.Print_Area" localSheetId="2">'Energy'!$A$1:$M$12</definedName>
  </definedNames>
  <calcPr fullCalcOnLoad="1"/>
</workbook>
</file>

<file path=xl/sharedStrings.xml><?xml version="1.0" encoding="utf-8"?>
<sst xmlns="http://schemas.openxmlformats.org/spreadsheetml/2006/main" count="206" uniqueCount="129">
  <si>
    <t>Engine run time</t>
  </si>
  <si>
    <t>Charge</t>
  </si>
  <si>
    <t>Usage since last reading</t>
  </si>
  <si>
    <t>Total usage</t>
  </si>
  <si>
    <t>Total Remaining</t>
  </si>
  <si>
    <t>Trip</t>
  </si>
  <si>
    <t>Lifetime</t>
  </si>
  <si>
    <t>(hours)</t>
  </si>
  <si>
    <t>(Ah)</t>
  </si>
  <si>
    <t>(gal)</t>
  </si>
  <si>
    <t>(Ahc)</t>
  </si>
  <si>
    <t>run time</t>
  </si>
  <si>
    <t>Forgot to note levels before departure</t>
  </si>
  <si>
    <t>Todd zeroed trip Ah</t>
  </si>
  <si>
    <t>added 25 gallons</t>
  </si>
  <si>
    <t>Started on the boat-46 gallons added</t>
  </si>
  <si>
    <t>filled with 20 gallons of normal diesel at Roach</t>
  </si>
  <si>
    <t>filled with 20 gallons of biodiesel</t>
  </si>
  <si>
    <t>Added 32 gallons of regular diesel</t>
  </si>
  <si>
    <t>Propane:</t>
  </si>
  <si>
    <t>Lamp oil:</t>
  </si>
  <si>
    <t>Date:</t>
  </si>
  <si>
    <t>Time:</t>
  </si>
  <si>
    <t>Level:</t>
  </si>
  <si>
    <t>RECYCLE &amp; WASTE:</t>
  </si>
  <si>
    <t>Recycle:</t>
  </si>
  <si>
    <t>Waste:</t>
  </si>
  <si>
    <t>Compost</t>
  </si>
  <si>
    <t>Mass (kg)</t>
  </si>
  <si>
    <t>HOLDING TANK CALIBRATION</t>
  </si>
  <si>
    <t>Total gal</t>
  </si>
  <si>
    <t>Gallons</t>
  </si>
  <si>
    <t>Pumps *</t>
  </si>
  <si>
    <t>Gal/pump</t>
  </si>
  <si>
    <t>L/pump</t>
  </si>
  <si>
    <t>Cm</t>
  </si>
  <si>
    <t>Total L</t>
  </si>
  <si>
    <t>mean</t>
  </si>
  <si>
    <t>* A “pump” is a full stroke up AND down</t>
  </si>
  <si>
    <t>Trend~</t>
  </si>
  <si>
    <t>l/cm</t>
  </si>
  <si>
    <t>Insight: Every pump is about 2/3 liter!</t>
  </si>
  <si>
    <t>gal/cm</t>
  </si>
  <si>
    <t xml:space="preserve">French flush (per directions) is about </t>
  </si>
  <si>
    <t>FRESHWATER TANK CALIBRATION</t>
  </si>
  <si>
    <t>Filled at Roche Harbor, time taken to fill 5 gallon = 35 seconds</t>
  </si>
  <si>
    <t xml:space="preserve">Notes: Non-linear at top of tank! Tank “empty” with 3cm remaining at bottom of tank. </t>
  </si>
  <si>
    <t>Note:  Height of tank in dip corner is 25 inches = 63.5cm, BUT level measured right after fill can be 79+cm...</t>
  </si>
  <si>
    <t># of Gallons</t>
  </si>
  <si>
    <t>Cm (on stick)</t>
  </si>
  <si>
    <t>Volume (L)</t>
  </si>
  <si>
    <t>Slope</t>
  </si>
  <si>
    <t>~-65</t>
  </si>
  <si>
    <t>Total Fresh volume:</t>
  </si>
  <si>
    <t>Water remaining calculator</t>
  </si>
  <si>
    <t>Fresh water fluxes</t>
  </si>
  <si>
    <t>Procedure:</t>
  </si>
  <si>
    <t>1) Fill in measured (blue) values</t>
  </si>
  <si>
    <t>Conversion factors:</t>
  </si>
  <si>
    <t>liters/gal</t>
  </si>
  <si>
    <t>Liters/cm</t>
  </si>
  <si>
    <t>Intercept</t>
  </si>
  <si>
    <t>Volume remaining</t>
  </si>
  <si>
    <t>Mean l/per/d</t>
  </si>
  <si>
    <t>Future # people</t>
  </si>
  <si>
    <t>Days remaining</t>
  </si>
  <si>
    <t>2) Calculate and enter the time period associated with Volume used</t>
  </si>
  <si>
    <t>3) Note computed values for sustainability report</t>
  </si>
  <si>
    <t>4) Update averages for the current week and graph trends</t>
  </si>
  <si>
    <t>Total tank V:</t>
  </si>
  <si>
    <t>Liters</t>
  </si>
  <si>
    <t>z</t>
  </si>
  <si>
    <t>Date</t>
  </si>
  <si>
    <t>Time</t>
  </si>
  <si>
    <t>Depth</t>
  </si>
  <si>
    <t>Amt filled since last reading (full tank is 65 cm)</t>
  </si>
  <si>
    <t>Change in Water Level</t>
  </si>
  <si>
    <t>Metric Volume</t>
  </si>
  <si>
    <t>American Volume</t>
  </si>
  <si>
    <t>Volume used</t>
  </si>
  <si>
    <t>Time period</t>
  </si>
  <si>
    <t>Daily use rate</t>
  </si>
  <si>
    <t>Number of people</t>
  </si>
  <si>
    <t>Daily water use per person</t>
  </si>
  <si>
    <t xml:space="preserve">Daily per person use </t>
  </si>
  <si>
    <t>Notes</t>
  </si>
  <si>
    <t>(hr)</t>
  </si>
  <si>
    <t>(min)</t>
  </si>
  <si>
    <t>(cm)</t>
  </si>
  <si>
    <t>(liters)</t>
  </si>
  <si>
    <t>(gallons)</t>
  </si>
  <si>
    <t>(hrs)</t>
  </si>
  <si>
    <t>(l/d)</t>
  </si>
  <si>
    <t>(gal/d)</t>
  </si>
  <si>
    <t xml:space="preserve">(l/person/d) </t>
  </si>
  <si>
    <t>(gal/person/d)</t>
  </si>
  <si>
    <t>n/a</t>
  </si>
  <si>
    <t>Fresh water was refilled at 22 cm level</t>
  </si>
  <si>
    <t>Filled yesterday when tank was 47 cm</t>
  </si>
  <si>
    <t>Filled water at FHL</t>
  </si>
  <si>
    <t>Filled water at Roche</t>
  </si>
  <si>
    <t>GV back to FHL then Bellingham</t>
  </si>
  <si>
    <t>boiled pasta x2/day. Washed dishes with fresh water b/c sea water quality at anchorage was very poor.</t>
  </si>
  <si>
    <t>Sewage fluxes</t>
  </si>
  <si>
    <t>intercept</t>
  </si>
  <si>
    <t>liters</t>
  </si>
  <si>
    <t>Amount pumped out of main since last reading</t>
  </si>
  <si>
    <t>Change in level</t>
  </si>
  <si>
    <t>Daily usage</t>
  </si>
  <si>
    <r>
      <t>Sewage was pumped to 2</t>
    </r>
    <r>
      <rPr>
        <vertAlign val="superscript"/>
        <sz val="11"/>
        <color indexed="8"/>
        <rFont val="Calibri"/>
        <family val="2"/>
      </rPr>
      <t>nd</t>
    </r>
    <r>
      <rPr>
        <sz val="11"/>
        <color indexed="8"/>
        <rFont val="Calibri"/>
        <family val="2"/>
      </rPr>
      <t xml:space="preserve"> tank</t>
    </r>
  </si>
  <si>
    <t>Sewage pumped completely out to 5 cm</t>
  </si>
  <si>
    <t>Sewaged pumped to Aux (33-17), then pumped out (23-5)</t>
  </si>
  <si>
    <t>used toilettes on Stewart Island</t>
  </si>
  <si>
    <t>unsure as to sewage level befoe pumpout</t>
  </si>
  <si>
    <t>Pumped into Auxiliary tank</t>
  </si>
  <si>
    <t>First day after tour</t>
  </si>
  <si>
    <t>Pumped into Auxiliary tank, and the tank burst</t>
  </si>
  <si>
    <t>Measured at 33 cm but then pumped into aux tank so that 15 was left in main tank</t>
  </si>
  <si>
    <t>Pumped out at Roach</t>
  </si>
  <si>
    <t>ENERGY:</t>
  </si>
  <si>
    <t>diesel tank full</t>
  </si>
  <si>
    <t>Assumptions and conversion factors</t>
  </si>
  <si>
    <t>gal</t>
  </si>
  <si>
    <t>Voltage</t>
  </si>
  <si>
    <t>Volts</t>
  </si>
  <si>
    <t>Burn rate</t>
  </si>
  <si>
    <t>gal/hr</t>
  </si>
  <si>
    <t xml:space="preserve"> </t>
  </si>
  <si>
    <t>Total energy use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</si>
</sst>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"/>
    <numFmt numFmtId="165" formatCode="0.000"/>
    <numFmt numFmtId="166" formatCode="0.0"/>
    <numFmt numFmtId="167" formatCode="0.000000"/>
    <numFmt numFmtId="168" formatCode="0"/>
    <numFmt numFmtId="169" formatCode="h:mm"/>
    <numFmt numFmtId="170" formatCode="m/d/yyyy"/>
    <numFmt numFmtId="171" formatCode="00"/>
    <numFmt numFmtId="172" formatCode="mm/dd/yy"/>
    <numFmt numFmtId="173" formatCode="0.00"/>
    <numFmt numFmtId="174" formatCode="mm/dd/yy;@"/>
    <numFmt numFmtId="175" formatCode="hh:mm\ AM/PM"/>
    <numFmt numFmtId="176" formatCode="h:mm\ AM/PM"/>
    <numFmt numFmtId="177" formatCode="hh:mm:ss\ AM/PM"/>
    <numFmt numFmtId="178" formatCode="m/d/yy"/>
    <numFmt numFmtId="179" formatCode="General"/>
    <numFmt numFmtId="180" formatCode="0.0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8"/>
      <color indexed="18"/>
      <name val="Calibri"/>
      <family val="2"/>
    </font>
    <font>
      <b/>
      <sz val="10"/>
      <color indexed="8"/>
      <name val="Calibri"/>
      <family val="2"/>
    </font>
    <font>
      <sz val="11"/>
      <color indexed="18"/>
      <name val="Calibri"/>
      <family val="2"/>
    </font>
    <font>
      <vertAlign val="superscript"/>
      <sz val="8"/>
      <color indexed="8"/>
      <name val="Arial"/>
      <family val="2"/>
    </font>
    <font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sz val="13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8"/>
      <name val="Verdana"/>
      <family val="0"/>
    </font>
    <font>
      <vertAlign val="superscript"/>
      <sz val="6.2"/>
      <color indexed="8"/>
      <name val="Arial"/>
      <family val="0"/>
    </font>
    <font>
      <vertAlign val="superscript"/>
      <sz val="4.35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9" fontId="1" fillId="0" borderId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99">
    <xf numFmtId="164" fontId="0" fillId="0" borderId="0" xfId="0" applyAlignment="1">
      <alignment/>
    </xf>
    <xf numFmtId="164" fontId="0" fillId="24" borderId="0" xfId="0" applyFill="1" applyAlignment="1">
      <alignment/>
    </xf>
    <xf numFmtId="164" fontId="0" fillId="0" borderId="0" xfId="0" applyFill="1" applyAlignment="1">
      <alignment/>
    </xf>
    <xf numFmtId="164" fontId="16" fillId="24" borderId="0" xfId="0" applyFont="1" applyFill="1" applyAlignment="1">
      <alignment/>
    </xf>
    <xf numFmtId="164" fontId="0" fillId="24" borderId="0" xfId="0" applyFill="1" applyAlignment="1">
      <alignment wrapText="1"/>
    </xf>
    <xf numFmtId="164" fontId="0" fillId="0" borderId="0" xfId="0" applyFill="1" applyAlignment="1">
      <alignment wrapText="1"/>
    </xf>
    <xf numFmtId="164" fontId="0" fillId="25" borderId="0" xfId="0" applyFill="1" applyAlignment="1">
      <alignment/>
    </xf>
    <xf numFmtId="164" fontId="16" fillId="24" borderId="0" xfId="0" applyFont="1" applyFill="1" applyAlignment="1">
      <alignment wrapText="1"/>
    </xf>
    <xf numFmtId="164" fontId="16" fillId="0" borderId="0" xfId="0" applyFont="1" applyFill="1" applyAlignment="1">
      <alignment wrapText="1"/>
    </xf>
    <xf numFmtId="164" fontId="18" fillId="0" borderId="10" xfId="0" applyFont="1" applyBorder="1" applyAlignment="1">
      <alignment horizontal="left"/>
    </xf>
    <xf numFmtId="164" fontId="0" fillId="0" borderId="11" xfId="0" applyBorder="1" applyAlignment="1">
      <alignment/>
    </xf>
    <xf numFmtId="164" fontId="0" fillId="0" borderId="12" xfId="0" applyFill="1" applyBorder="1" applyAlignment="1">
      <alignment/>
    </xf>
    <xf numFmtId="164" fontId="18" fillId="24" borderId="10" xfId="0" applyFont="1" applyFill="1" applyBorder="1" applyAlignment="1">
      <alignment wrapText="1"/>
    </xf>
    <xf numFmtId="164" fontId="0" fillId="24" borderId="11" xfId="0" applyFont="1" applyFill="1" applyBorder="1" applyAlignment="1">
      <alignment horizontal="center"/>
    </xf>
    <xf numFmtId="164" fontId="0" fillId="0" borderId="11" xfId="0" applyFont="1" applyFill="1" applyBorder="1" applyAlignment="1">
      <alignment horizontal="center"/>
    </xf>
    <xf numFmtId="164" fontId="0" fillId="0" borderId="13" xfId="0" applyBorder="1" applyAlignment="1">
      <alignment/>
    </xf>
    <xf numFmtId="164" fontId="0" fillId="0" borderId="13" xfId="0" applyFont="1" applyBorder="1" applyAlignment="1">
      <alignment horizontal="center" wrapText="1"/>
    </xf>
    <xf numFmtId="164" fontId="0" fillId="0" borderId="0" xfId="0" applyFont="1" applyBorder="1" applyAlignment="1">
      <alignment horizontal="center" wrapText="1"/>
    </xf>
    <xf numFmtId="164" fontId="0" fillId="0" borderId="0" xfId="0" applyFont="1" applyAlignment="1">
      <alignment horizontal="center" wrapText="1"/>
    </xf>
    <xf numFmtId="164" fontId="0" fillId="0" borderId="14" xfId="0" applyFont="1" applyFill="1" applyBorder="1" applyAlignment="1">
      <alignment horizontal="center" wrapText="1"/>
    </xf>
    <xf numFmtId="164" fontId="0" fillId="0" borderId="0" xfId="0" applyBorder="1" applyAlignment="1">
      <alignment horizontal="right"/>
    </xf>
    <xf numFmtId="164" fontId="0" fillId="24" borderId="15" xfId="0" applyFill="1" applyBorder="1" applyAlignment="1">
      <alignment/>
    </xf>
    <xf numFmtId="165" fontId="0" fillId="24" borderId="16" xfId="0" applyNumberFormat="1" applyFill="1" applyBorder="1" applyAlignment="1">
      <alignment horizontal="center"/>
    </xf>
    <xf numFmtId="164" fontId="0" fillId="24" borderId="16" xfId="0" applyFont="1" applyFill="1" applyBorder="1" applyAlignment="1">
      <alignment horizontal="center"/>
    </xf>
    <xf numFmtId="166" fontId="0" fillId="24" borderId="15" xfId="0" applyNumberFormat="1" applyFill="1" applyBorder="1" applyAlignment="1">
      <alignment/>
    </xf>
    <xf numFmtId="166" fontId="0" fillId="0" borderId="16" xfId="0" applyNumberFormat="1" applyFill="1" applyBorder="1" applyAlignment="1">
      <alignment/>
    </xf>
    <xf numFmtId="164" fontId="0" fillId="24" borderId="16" xfId="0" applyFill="1" applyBorder="1" applyAlignment="1">
      <alignment/>
    </xf>
    <xf numFmtId="167" fontId="0" fillId="0" borderId="17" xfId="0" applyNumberFormat="1" applyFill="1" applyBorder="1" applyAlignment="1">
      <alignment/>
    </xf>
    <xf numFmtId="164" fontId="0" fillId="0" borderId="0" xfId="0" applyFill="1" applyBorder="1" applyAlignment="1">
      <alignment/>
    </xf>
    <xf numFmtId="168" fontId="0" fillId="24" borderId="0" xfId="0" applyNumberFormat="1" applyFill="1" applyAlignment="1">
      <alignment/>
    </xf>
    <xf numFmtId="164" fontId="0" fillId="24" borderId="11" xfId="0" applyFill="1" applyBorder="1" applyAlignment="1">
      <alignment/>
    </xf>
    <xf numFmtId="164" fontId="0" fillId="0" borderId="11" xfId="0" applyFill="1" applyBorder="1" applyAlignment="1">
      <alignment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24" borderId="0" xfId="0" applyFont="1" applyFill="1" applyBorder="1" applyAlignment="1">
      <alignment/>
    </xf>
    <xf numFmtId="164" fontId="16" fillId="24" borderId="0" xfId="0" applyFont="1" applyFill="1" applyAlignment="1">
      <alignment horizontal="center"/>
    </xf>
    <xf numFmtId="164" fontId="19" fillId="24" borderId="0" xfId="0" applyFont="1" applyFill="1" applyAlignment="1">
      <alignment horizontal="center"/>
    </xf>
    <xf numFmtId="164" fontId="20" fillId="24" borderId="0" xfId="0" applyFont="1" applyFill="1" applyAlignment="1">
      <alignment horizontal="center" wrapText="1"/>
    </xf>
    <xf numFmtId="164" fontId="21" fillId="0" borderId="0" xfId="0" applyFont="1" applyFill="1" applyAlignment="1">
      <alignment horizontal="center" wrapText="1"/>
    </xf>
    <xf numFmtId="164" fontId="16" fillId="0" borderId="0" xfId="0" applyFont="1" applyAlignment="1">
      <alignment horizontal="center" textRotation="90" wrapText="1"/>
    </xf>
    <xf numFmtId="164" fontId="16" fillId="0" borderId="0" xfId="0" applyFont="1" applyFill="1" applyAlignment="1">
      <alignment horizontal="center" textRotation="90" wrapText="1"/>
    </xf>
    <xf numFmtId="164" fontId="19" fillId="24" borderId="0" xfId="0" applyFont="1" applyFill="1" applyAlignment="1">
      <alignment horizontal="center" textRotation="90" wrapText="1"/>
    </xf>
    <xf numFmtId="164" fontId="16" fillId="0" borderId="0" xfId="0" applyFont="1" applyAlignment="1">
      <alignment horizontal="center"/>
    </xf>
    <xf numFmtId="169" fontId="16" fillId="24" borderId="0" xfId="0" applyNumberFormat="1" applyFont="1" applyFill="1" applyAlignment="1">
      <alignment horizontal="center"/>
    </xf>
    <xf numFmtId="164" fontId="16" fillId="0" borderId="0" xfId="0" applyFont="1" applyFill="1" applyAlignment="1">
      <alignment horizontal="center"/>
    </xf>
    <xf numFmtId="164" fontId="16" fillId="0" borderId="0" xfId="0" applyFont="1" applyAlignment="1">
      <alignment horizontal="center" wrapText="1"/>
    </xf>
    <xf numFmtId="170" fontId="0" fillId="24" borderId="0" xfId="0" applyNumberFormat="1" applyFill="1" applyAlignment="1">
      <alignment/>
    </xf>
    <xf numFmtId="171" fontId="0" fillId="24" borderId="0" xfId="0" applyNumberFormat="1" applyFill="1" applyAlignment="1">
      <alignment/>
    </xf>
    <xf numFmtId="164" fontId="19" fillId="0" borderId="0" xfId="0" applyFont="1" applyFill="1" applyAlignment="1">
      <alignment horizontal="center"/>
    </xf>
    <xf numFmtId="166" fontId="0" fillId="0" borderId="0" xfId="0" applyNumberFormat="1" applyAlignment="1">
      <alignment/>
    </xf>
    <xf numFmtId="164" fontId="22" fillId="24" borderId="0" xfId="0" applyFont="1" applyFill="1" applyAlignment="1">
      <alignment/>
    </xf>
    <xf numFmtId="164" fontId="0" fillId="0" borderId="0" xfId="0" applyNumberFormat="1" applyAlignment="1">
      <alignment/>
    </xf>
    <xf numFmtId="172" fontId="0" fillId="24" borderId="0" xfId="0" applyNumberFormat="1" applyFill="1" applyAlignment="1">
      <alignment/>
    </xf>
    <xf numFmtId="164" fontId="0" fillId="0" borderId="0" xfId="0" applyFont="1" applyAlignment="1">
      <alignment wrapText="1"/>
    </xf>
    <xf numFmtId="172" fontId="0" fillId="24" borderId="0" xfId="0" applyNumberFormat="1" applyFill="1" applyAlignment="1">
      <alignment wrapText="1"/>
    </xf>
    <xf numFmtId="166" fontId="0" fillId="0" borderId="0" xfId="0" applyNumberFormat="1" applyAlignment="1">
      <alignment wrapText="1"/>
    </xf>
    <xf numFmtId="164" fontId="0" fillId="0" borderId="0" xfId="0" applyFont="1" applyFill="1" applyAlignment="1">
      <alignment/>
    </xf>
    <xf numFmtId="164" fontId="16" fillId="0" borderId="0" xfId="0" applyFont="1" applyAlignment="1">
      <alignment/>
    </xf>
    <xf numFmtId="164" fontId="0" fillId="0" borderId="0" xfId="0" applyAlignment="1">
      <alignment wrapText="1"/>
    </xf>
    <xf numFmtId="164" fontId="16" fillId="25" borderId="0" xfId="0" applyFont="1" applyFill="1" applyAlignment="1">
      <alignment/>
    </xf>
    <xf numFmtId="164" fontId="16" fillId="0" borderId="0" xfId="0" applyFont="1" applyAlignment="1">
      <alignment wrapText="1"/>
    </xf>
    <xf numFmtId="164" fontId="18" fillId="0" borderId="10" xfId="0" applyFont="1" applyBorder="1" applyAlignment="1">
      <alignment wrapText="1"/>
    </xf>
    <xf numFmtId="164" fontId="0" fillId="0" borderId="11" xfId="0" applyFont="1" applyBorder="1" applyAlignment="1">
      <alignment horizontal="center"/>
    </xf>
    <xf numFmtId="164" fontId="0" fillId="0" borderId="15" xfId="0" applyBorder="1" applyAlignment="1">
      <alignment/>
    </xf>
    <xf numFmtId="164" fontId="0" fillId="24" borderId="16" xfId="0" applyFill="1" applyBorder="1" applyAlignment="1">
      <alignment horizontal="center"/>
    </xf>
    <xf numFmtId="164" fontId="0" fillId="0" borderId="16" xfId="0" applyFill="1" applyBorder="1" applyAlignment="1">
      <alignment horizontal="center"/>
    </xf>
    <xf numFmtId="164" fontId="0" fillId="0" borderId="18" xfId="0" applyFont="1" applyFill="1" applyBorder="1" applyAlignment="1">
      <alignment/>
    </xf>
    <xf numFmtId="164" fontId="0" fillId="0" borderId="19" xfId="0" applyFill="1" applyBorder="1" applyAlignment="1">
      <alignment horizontal="center"/>
    </xf>
    <xf numFmtId="164" fontId="0" fillId="0" borderId="19" xfId="0" applyFont="1" applyFill="1" applyBorder="1" applyAlignment="1">
      <alignment horizontal="center"/>
    </xf>
    <xf numFmtId="164" fontId="16" fillId="0" borderId="0" xfId="0" applyFont="1" applyFill="1" applyAlignment="1">
      <alignment/>
    </xf>
    <xf numFmtId="164" fontId="19" fillId="24" borderId="0" xfId="0" applyFont="1" applyFill="1" applyAlignment="1">
      <alignment horizontal="center" vertical="center" wrapText="1"/>
    </xf>
    <xf numFmtId="164" fontId="16" fillId="0" borderId="0" xfId="0" applyFont="1" applyFill="1" applyAlignment="1">
      <alignment horizontal="center" vertical="center" wrapText="1"/>
    </xf>
    <xf numFmtId="164" fontId="16" fillId="0" borderId="0" xfId="0" applyFont="1" applyFill="1" applyAlignment="1">
      <alignment horizontal="center" wrapText="1"/>
    </xf>
    <xf numFmtId="164" fontId="19" fillId="24" borderId="0" xfId="0" applyFont="1" applyFill="1" applyAlignment="1">
      <alignment horizontal="center" wrapText="1"/>
    </xf>
    <xf numFmtId="173" fontId="0" fillId="0" borderId="0" xfId="0" applyNumberFormat="1" applyFont="1" applyFill="1" applyAlignment="1">
      <alignment/>
    </xf>
    <xf numFmtId="164" fontId="0" fillId="24" borderId="0" xfId="0" applyNumberFormat="1" applyFill="1" applyAlignment="1">
      <alignment/>
    </xf>
    <xf numFmtId="164" fontId="0" fillId="0" borderId="0" xfId="0" applyAlignment="1">
      <alignment horizontal="left"/>
    </xf>
    <xf numFmtId="169" fontId="0" fillId="0" borderId="0" xfId="0" applyNumberFormat="1" applyAlignment="1">
      <alignment horizontal="left"/>
    </xf>
    <xf numFmtId="164" fontId="16" fillId="0" borderId="0" xfId="0" applyFont="1" applyAlignment="1">
      <alignment horizontal="left"/>
    </xf>
    <xf numFmtId="164" fontId="0" fillId="0" borderId="0" xfId="0" applyFont="1" applyAlignment="1">
      <alignment horizontal="right"/>
    </xf>
    <xf numFmtId="164" fontId="16" fillId="0" borderId="0" xfId="0" applyFont="1" applyAlignment="1">
      <alignment horizontal="right"/>
    </xf>
    <xf numFmtId="164" fontId="0" fillId="24" borderId="0" xfId="0" applyFill="1" applyAlignment="1">
      <alignment horizontal="left"/>
    </xf>
    <xf numFmtId="164" fontId="16" fillId="0" borderId="0" xfId="0" applyFont="1" applyBorder="1" applyAlignment="1">
      <alignment horizontal="left"/>
    </xf>
    <xf numFmtId="164" fontId="16" fillId="24" borderId="0" xfId="0" applyFont="1" applyFill="1" applyBorder="1" applyAlignment="1">
      <alignment/>
    </xf>
    <xf numFmtId="164" fontId="16" fillId="24" borderId="0" xfId="0" applyFont="1" applyFill="1" applyAlignment="1">
      <alignment horizontal="center" wrapText="1"/>
    </xf>
    <xf numFmtId="164" fontId="16" fillId="0" borderId="0" xfId="0" applyFont="1" applyBorder="1" applyAlignment="1">
      <alignment wrapText="1"/>
    </xf>
    <xf numFmtId="164" fontId="16" fillId="24" borderId="0" xfId="0" applyFont="1" applyFill="1" applyBorder="1" applyAlignment="1">
      <alignment horizontal="center"/>
    </xf>
    <xf numFmtId="164" fontId="16" fillId="0" borderId="0" xfId="0" applyFont="1" applyBorder="1" applyAlignment="1">
      <alignment horizontal="center"/>
    </xf>
    <xf numFmtId="172" fontId="0" fillId="0" borderId="0" xfId="0" applyNumberFormat="1" applyAlignment="1">
      <alignment horizontal="left"/>
    </xf>
    <xf numFmtId="174" fontId="0" fillId="0" borderId="0" xfId="0" applyNumberFormat="1" applyAlignment="1">
      <alignment horizontal="left"/>
    </xf>
    <xf numFmtId="164" fontId="0" fillId="0" borderId="0" xfId="0" applyFont="1" applyAlignment="1">
      <alignment horizontal="left"/>
    </xf>
    <xf numFmtId="172" fontId="0" fillId="0" borderId="0" xfId="0" applyNumberFormat="1" applyAlignment="1">
      <alignment/>
    </xf>
    <xf numFmtId="175" fontId="0" fillId="0" borderId="0" xfId="0" applyNumberFormat="1" applyAlignment="1">
      <alignment/>
    </xf>
    <xf numFmtId="170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64" fontId="25" fillId="0" borderId="0" xfId="0" applyFont="1" applyAlignment="1">
      <alignment/>
    </xf>
    <xf numFmtId="164" fontId="0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4586"/>
      <rgbColor rgb="00C0C0C0"/>
      <rgbColor rgb="00808080"/>
      <rgbColor rgb="00B3B3B3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1FB714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420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4275"/>
          <c:w val="0.95"/>
          <c:h val="0.91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Water!$P$10:$P$20</c:f>
              <c:numCache/>
            </c:numRef>
          </c:val>
        </c:ser>
        <c:gapWidth val="100"/>
        <c:axId val="16180606"/>
        <c:axId val="11407727"/>
      </c:barChart>
      <c:catAx>
        <c:axId val="16180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</a:defRPr>
            </a:pPr>
          </a:p>
        </c:txPr>
        <c:crossAx val="11407727"/>
        <c:crosses val="autoZero"/>
        <c:auto val="1"/>
        <c:lblOffset val="100"/>
        <c:tickLblSkip val="1"/>
        <c:noMultiLvlLbl val="0"/>
      </c:catAx>
      <c:valAx>
        <c:axId val="1140772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</a:defRPr>
            </a:pPr>
          </a:p>
        </c:txPr>
        <c:crossAx val="1618060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125"/>
          <c:y val="0.44375"/>
          <c:w val="0.087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3000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4175"/>
          <c:w val="0.927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Sewage!$M$10:$M$20</c:f>
              <c:numCache/>
            </c:numRef>
          </c:val>
        </c:ser>
        <c:gapWidth val="100"/>
        <c:axId val="35560680"/>
        <c:axId val="51610665"/>
      </c:barChart>
      <c:catAx>
        <c:axId val="35560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</a:defRPr>
            </a:pPr>
          </a:p>
        </c:txPr>
        <c:crossAx val="51610665"/>
        <c:crosses val="autoZero"/>
        <c:auto val="1"/>
        <c:lblOffset val="100"/>
        <c:tickLblSkip val="1"/>
        <c:noMultiLvlLbl val="0"/>
      </c:catAx>
      <c:valAx>
        <c:axId val="5161066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</a:defRPr>
            </a:pPr>
          </a:p>
        </c:txPr>
        <c:crossAx val="3556068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585"/>
          <c:y val="0.424"/>
          <c:w val="0.12775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3000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4175"/>
          <c:w val="0.9265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Energy!$J$12:$J$23</c:f>
              <c:numCache/>
            </c:numRef>
          </c:val>
        </c:ser>
        <c:gapWidth val="100"/>
        <c:axId val="61842802"/>
        <c:axId val="19714307"/>
      </c:barChart>
      <c:catAx>
        <c:axId val="61842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</a:defRPr>
            </a:pPr>
          </a:p>
        </c:txPr>
        <c:crossAx val="19714307"/>
        <c:crosses val="autoZero"/>
        <c:auto val="1"/>
        <c:lblOffset val="100"/>
        <c:tickLblSkip val="1"/>
        <c:noMultiLvlLbl val="0"/>
      </c:catAx>
      <c:valAx>
        <c:axId val="1971430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</a:defRPr>
            </a:pPr>
          </a:p>
        </c:txPr>
        <c:crossAx val="6184280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424"/>
          <c:w val="0.1285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3000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4725"/>
          <c:w val="0.9262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Energy!$L$11:$L$18</c:f>
              <c:numCache/>
            </c:numRef>
          </c:val>
        </c:ser>
        <c:gapWidth val="100"/>
        <c:axId val="43211036"/>
        <c:axId val="53355005"/>
      </c:barChart>
      <c:catAx>
        <c:axId val="43211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</a:defRPr>
            </a:pPr>
          </a:p>
        </c:txPr>
        <c:crossAx val="53355005"/>
        <c:crosses val="autoZero"/>
        <c:auto val="1"/>
        <c:lblOffset val="100"/>
        <c:tickLblSkip val="1"/>
        <c:noMultiLvlLbl val="0"/>
      </c:catAx>
      <c:valAx>
        <c:axId val="5335500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</a:defRPr>
            </a:pPr>
          </a:p>
        </c:txPr>
        <c:crossAx val="4321103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6175"/>
          <c:y val="0.5385"/>
          <c:w val="0.129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3000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Freshwater tank calibration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775"/>
          <c:w val="0.90825"/>
          <c:h val="0.77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Calibrations!$C$25</c:f>
              <c:strCache>
                <c:ptCount val="1"/>
                <c:pt idx="0">
                  <c:v>Volume (L)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Calibrations!$B$26:$B$44</c:f>
              <c:numCache/>
            </c:numRef>
          </c:xVal>
          <c:yVal>
            <c:numRef>
              <c:f>Calibrations!$C$26:$C$44</c:f>
              <c:numCache/>
            </c:numRef>
          </c:yVal>
          <c:smooth val="0"/>
        </c:ser>
        <c:axId val="10432998"/>
        <c:axId val="26788119"/>
      </c:scatterChart>
      <c:valAx>
        <c:axId val="10432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Cm (on stick)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788119"/>
        <c:crosses val="autoZero"/>
        <c:crossBetween val="midCat"/>
        <c:dispUnits/>
      </c:valAx>
      <c:valAx>
        <c:axId val="26788119"/>
        <c:scaling>
          <c:orientation val="minMax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Volume (liters)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432998"/>
        <c:crosses val="autoZero"/>
        <c:crossBetween val="midCat"/>
        <c:dispUnits/>
        <c:majorUnit val="50"/>
        <c:minorUnit val="5"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Holding tank calibration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75"/>
          <c:y val="0.22975"/>
          <c:w val="0.85775"/>
          <c:h val="0.67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Calibrations!$F$3:$F$14</c:f>
              <c:numCache/>
            </c:numRef>
          </c:xVal>
          <c:yVal>
            <c:numRef>
              <c:f>Calibrations!$G$3:$G$14</c:f>
              <c:numCache/>
            </c:numRef>
          </c:yVal>
          <c:smooth val="0"/>
        </c:ser>
        <c:axId val="39766480"/>
        <c:axId val="22354001"/>
      </c:scatterChart>
      <c:valAx>
        <c:axId val="39766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Sewage level (cm)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354001"/>
        <c:crosses val="autoZero"/>
        <c:crossBetween val="midCat"/>
        <c:dispUnits/>
      </c:valAx>
      <c:valAx>
        <c:axId val="22354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Volume (l)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766480"/>
        <c:crosses val="autoZero"/>
        <c:crossBetween val="midCat"/>
        <c:dispUnits/>
        <c:majorUnit val="10"/>
        <c:minorUnit val="2"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Water use time series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22425"/>
          <c:w val="0.90275"/>
          <c:h val="0.68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Water!$O$7</c:f>
              <c:strCache>
                <c:ptCount val="1"/>
                <c:pt idx="0">
                  <c:v>Daily water use per person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Water!$A$10:$A$98</c:f>
              <c:strCache>
                <c:ptCount val="89"/>
                <c:pt idx="0">
                  <c:v>40434</c:v>
                </c:pt>
                <c:pt idx="1">
                  <c:v>40435</c:v>
                </c:pt>
                <c:pt idx="2">
                  <c:v>40436</c:v>
                </c:pt>
                <c:pt idx="3">
                  <c:v>40437</c:v>
                </c:pt>
                <c:pt idx="4">
                  <c:v>40438</c:v>
                </c:pt>
                <c:pt idx="5">
                  <c:v>40439</c:v>
                </c:pt>
                <c:pt idx="6">
                  <c:v>40440</c:v>
                </c:pt>
                <c:pt idx="7">
                  <c:v>40441</c:v>
                </c:pt>
                <c:pt idx="8">
                  <c:v>40442</c:v>
                </c:pt>
                <c:pt idx="9">
                  <c:v>40443</c:v>
                </c:pt>
                <c:pt idx="10">
                  <c:v>40444</c:v>
                </c:pt>
                <c:pt idx="11">
                  <c:v>40445</c:v>
                </c:pt>
                <c:pt idx="12">
                  <c:v>40446</c:v>
                </c:pt>
                <c:pt idx="13">
                  <c:v>40447</c:v>
                </c:pt>
                <c:pt idx="14">
                  <c:v>40451</c:v>
                </c:pt>
                <c:pt idx="15">
                  <c:v>40452</c:v>
                </c:pt>
                <c:pt idx="16">
                  <c:v>40453</c:v>
                </c:pt>
                <c:pt idx="17">
                  <c:v>40454</c:v>
                </c:pt>
                <c:pt idx="18">
                  <c:v>40455</c:v>
                </c:pt>
                <c:pt idx="19">
                  <c:v>40456</c:v>
                </c:pt>
                <c:pt idx="20">
                  <c:v>40457</c:v>
                </c:pt>
                <c:pt idx="21">
                  <c:v>40458</c:v>
                </c:pt>
                <c:pt idx="22">
                  <c:v>40459</c:v>
                </c:pt>
                <c:pt idx="23">
                  <c:v>40460</c:v>
                </c:pt>
                <c:pt idx="24">
                  <c:v>40461</c:v>
                </c:pt>
                <c:pt idx="25">
                  <c:v>40462</c:v>
                </c:pt>
                <c:pt idx="26">
                  <c:v>40463</c:v>
                </c:pt>
                <c:pt idx="27">
                  <c:v>40464</c:v>
                </c:pt>
                <c:pt idx="28">
                  <c:v>40465</c:v>
                </c:pt>
                <c:pt idx="29">
                  <c:v>40469</c:v>
                </c:pt>
                <c:pt idx="30">
                  <c:v>40470</c:v>
                </c:pt>
                <c:pt idx="31">
                  <c:v>40471</c:v>
                </c:pt>
                <c:pt idx="32">
                  <c:v>40472</c:v>
                </c:pt>
                <c:pt idx="33">
                  <c:v>40473</c:v>
                </c:pt>
                <c:pt idx="34">
                  <c:v>40474</c:v>
                </c:pt>
                <c:pt idx="35">
                  <c:v>40475</c:v>
                </c:pt>
              </c:strCache>
            </c:strRef>
          </c:xVal>
          <c:yVal>
            <c:numRef>
              <c:f>Water!$O$10:$O$98</c:f>
              <c:numCache>
                <c:ptCount val="89"/>
                <c:pt idx="0">
                  <c:v>6.017142857142856</c:v>
                </c:pt>
                <c:pt idx="1">
                  <c:v>9.559148936170212</c:v>
                </c:pt>
                <c:pt idx="2">
                  <c:v>8.19</c:v>
                </c:pt>
                <c:pt idx="3">
                  <c:v>8.207098121085595</c:v>
                </c:pt>
                <c:pt idx="4">
                  <c:v>8.167313019390582</c:v>
                </c:pt>
                <c:pt idx="5">
                  <c:v>11.89581589958159</c:v>
                </c:pt>
                <c:pt idx="6">
                  <c:v>6.406985915492957</c:v>
                </c:pt>
                <c:pt idx="7">
                  <c:v>1.7075675675675674</c:v>
                </c:pt>
                <c:pt idx="8">
                  <c:v>10.49356401384083</c:v>
                </c:pt>
                <c:pt idx="9">
                  <c:v>11.153728222996515</c:v>
                </c:pt>
                <c:pt idx="10">
                  <c:v>12.72195918367347</c:v>
                </c:pt>
                <c:pt idx="11">
                  <c:v>6.586851063829785</c:v>
                </c:pt>
                <c:pt idx="12">
                  <c:v>20.070908912638494</c:v>
                </c:pt>
                <c:pt idx="13">
                  <c:v>11.453649324898498</c:v>
                </c:pt>
                <c:pt idx="15">
                  <c:v>6.126545454545454</c:v>
                </c:pt>
                <c:pt idx="16">
                  <c:v>11.383783783783784</c:v>
                </c:pt>
                <c:pt idx="17">
                  <c:v>8.961702127659574</c:v>
                </c:pt>
                <c:pt idx="18">
                  <c:v>11.115</c:v>
                </c:pt>
                <c:pt idx="19">
                  <c:v>9.295448275862068</c:v>
                </c:pt>
                <c:pt idx="20">
                  <c:v>14.580000000000002</c:v>
                </c:pt>
                <c:pt idx="21">
                  <c:v>11.700000000000001</c:v>
                </c:pt>
                <c:pt idx="22">
                  <c:v>9.450747922437671</c:v>
                </c:pt>
                <c:pt idx="23">
                  <c:v>10.48147465437788</c:v>
                </c:pt>
                <c:pt idx="24">
                  <c:v>13.395053003533569</c:v>
                </c:pt>
                <c:pt idx="25">
                  <c:v>14.28041095890411</c:v>
                </c:pt>
                <c:pt idx="26">
                  <c:v>15.852436363636363</c:v>
                </c:pt>
                <c:pt idx="27">
                  <c:v>7.897499999999999</c:v>
                </c:pt>
                <c:pt idx="28">
                  <c:v>15.794999999999998</c:v>
                </c:pt>
                <c:pt idx="29">
                  <c:v>0</c:v>
                </c:pt>
                <c:pt idx="30">
                  <c:v>8.36451897616946</c:v>
                </c:pt>
                <c:pt idx="31">
                  <c:v>12.982191780821918</c:v>
                </c:pt>
                <c:pt idx="32">
                  <c:v>10.603636363636364</c:v>
                </c:pt>
                <c:pt idx="33">
                  <c:v>13.895257731958761</c:v>
                </c:pt>
                <c:pt idx="34">
                  <c:v>26.663361942641828</c:v>
                </c:pt>
                <c:pt idx="35">
                  <c:v>11.510526315789473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Sewage!$O$7</c:f>
              <c:strCache>
                <c:ptCount val="1"/>
                <c:pt idx="0">
                  <c:v>Daily per person use 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strRef>
              <c:f>Sewage!$A$10:$A$100</c:f>
              <c:strCache>
                <c:ptCount val="91"/>
                <c:pt idx="0">
                  <c:v>40434</c:v>
                </c:pt>
                <c:pt idx="1">
                  <c:v>40435</c:v>
                </c:pt>
                <c:pt idx="2">
                  <c:v>40436</c:v>
                </c:pt>
                <c:pt idx="3">
                  <c:v>40437</c:v>
                </c:pt>
                <c:pt idx="4">
                  <c:v>40438</c:v>
                </c:pt>
                <c:pt idx="5">
                  <c:v>40439</c:v>
                </c:pt>
                <c:pt idx="6">
                  <c:v>40440</c:v>
                </c:pt>
                <c:pt idx="7">
                  <c:v>40441</c:v>
                </c:pt>
                <c:pt idx="8">
                  <c:v>40442</c:v>
                </c:pt>
                <c:pt idx="9">
                  <c:v>40443</c:v>
                </c:pt>
                <c:pt idx="10">
                  <c:v>40444</c:v>
                </c:pt>
                <c:pt idx="11">
                  <c:v>40445</c:v>
                </c:pt>
                <c:pt idx="12">
                  <c:v>40446</c:v>
                </c:pt>
                <c:pt idx="13">
                  <c:v>40447</c:v>
                </c:pt>
                <c:pt idx="14">
                  <c:v>40451</c:v>
                </c:pt>
                <c:pt idx="15">
                  <c:v>40452</c:v>
                </c:pt>
                <c:pt idx="16">
                  <c:v>40453</c:v>
                </c:pt>
                <c:pt idx="17">
                  <c:v>40454</c:v>
                </c:pt>
                <c:pt idx="18">
                  <c:v>40455</c:v>
                </c:pt>
                <c:pt idx="19">
                  <c:v>40456</c:v>
                </c:pt>
                <c:pt idx="20">
                  <c:v>40457</c:v>
                </c:pt>
                <c:pt idx="21">
                  <c:v>40458</c:v>
                </c:pt>
                <c:pt idx="22">
                  <c:v>40459</c:v>
                </c:pt>
                <c:pt idx="23">
                  <c:v>40460</c:v>
                </c:pt>
                <c:pt idx="24">
                  <c:v>40461</c:v>
                </c:pt>
                <c:pt idx="25">
                  <c:v>40462</c:v>
                </c:pt>
                <c:pt idx="26">
                  <c:v>40463</c:v>
                </c:pt>
                <c:pt idx="27">
                  <c:v>40464</c:v>
                </c:pt>
                <c:pt idx="28">
                  <c:v>40465</c:v>
                </c:pt>
                <c:pt idx="29">
                  <c:v>40469</c:v>
                </c:pt>
                <c:pt idx="30">
                  <c:v>40470</c:v>
                </c:pt>
                <c:pt idx="31">
                  <c:v>40471</c:v>
                </c:pt>
                <c:pt idx="32">
                  <c:v>40472</c:v>
                </c:pt>
                <c:pt idx="33">
                  <c:v>40473</c:v>
                </c:pt>
                <c:pt idx="34">
                  <c:v>40474</c:v>
                </c:pt>
                <c:pt idx="35">
                  <c:v>40475</c:v>
                </c:pt>
              </c:strCache>
            </c:strRef>
          </c:xVal>
          <c:yVal>
            <c:numRef>
              <c:f>Sewage!$N$10:$N$100</c:f>
              <c:numCache>
                <c:ptCount val="9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8</c:v>
                </c:pt>
                <c:pt idx="12">
                  <c:v>7</c:v>
                </c:pt>
                <c:pt idx="13">
                  <c:v>7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9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8.5</c:v>
                </c:pt>
                <c:pt idx="35">
                  <c:v>8</c:v>
                </c:pt>
              </c:numCache>
            </c:numRef>
          </c:yVal>
          <c:smooth val="0"/>
        </c:ser>
        <c:axId val="66968282"/>
        <c:axId val="65843627"/>
      </c:scatterChart>
      <c:valAx>
        <c:axId val="66968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Date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843627"/>
        <c:crosses val="autoZero"/>
        <c:crossBetween val="midCat"/>
        <c:dispUnits/>
      </c:valAx>
      <c:valAx>
        <c:axId val="65843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usage (l/person/day)</a:t>
                </a:r>
              </a:p>
            </c:rich>
          </c:tx>
          <c:layout>
            <c:manualLayout>
              <c:xMode val="factor"/>
              <c:yMode val="factor"/>
              <c:x val="-0.01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968282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225"/>
          <c:y val="0.31"/>
          <c:w val="0.2005"/>
          <c:h val="0.07375"/>
        </c:manualLayout>
      </c:layout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3000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485775</xdr:colOff>
      <xdr:row>7</xdr:row>
      <xdr:rowOff>114300</xdr:rowOff>
    </xdr:from>
    <xdr:to>
      <xdr:col>18</xdr:col>
      <xdr:colOff>733425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9582150" y="2390775"/>
        <a:ext cx="36385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199</xdr:row>
      <xdr:rowOff>85725</xdr:rowOff>
    </xdr:from>
    <xdr:to>
      <xdr:col>15</xdr:col>
      <xdr:colOff>390525</xdr:colOff>
      <xdr:row>213</xdr:row>
      <xdr:rowOff>104775</xdr:rowOff>
    </xdr:to>
    <xdr:graphicFrame>
      <xdr:nvGraphicFramePr>
        <xdr:cNvPr id="1" name="Chart 1"/>
        <xdr:cNvGraphicFramePr/>
      </xdr:nvGraphicFramePr>
      <xdr:xfrm>
        <a:off x="7762875" y="37299900"/>
        <a:ext cx="25146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59</xdr:row>
      <xdr:rowOff>0</xdr:rowOff>
    </xdr:from>
    <xdr:to>
      <xdr:col>9</xdr:col>
      <xdr:colOff>552450</xdr:colOff>
      <xdr:row>73</xdr:row>
      <xdr:rowOff>28575</xdr:rowOff>
    </xdr:to>
    <xdr:graphicFrame>
      <xdr:nvGraphicFramePr>
        <xdr:cNvPr id="1" name="Chart 1"/>
        <xdr:cNvGraphicFramePr/>
      </xdr:nvGraphicFramePr>
      <xdr:xfrm>
        <a:off x="5124450" y="10753725"/>
        <a:ext cx="24955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333375</xdr:colOff>
      <xdr:row>0</xdr:row>
      <xdr:rowOff>0</xdr:rowOff>
    </xdr:from>
    <xdr:to>
      <xdr:col>22</xdr:col>
      <xdr:colOff>514350</xdr:colOff>
      <xdr:row>10</xdr:row>
      <xdr:rowOff>276225</xdr:rowOff>
    </xdr:to>
    <xdr:graphicFrame>
      <xdr:nvGraphicFramePr>
        <xdr:cNvPr id="2" name="Chart 2"/>
        <xdr:cNvGraphicFramePr/>
      </xdr:nvGraphicFramePr>
      <xdr:xfrm>
        <a:off x="14649450" y="0"/>
        <a:ext cx="250507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23</xdr:row>
      <xdr:rowOff>161925</xdr:rowOff>
    </xdr:from>
    <xdr:to>
      <xdr:col>11</xdr:col>
      <xdr:colOff>257175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3686175" y="4124325"/>
        <a:ext cx="398145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504825</xdr:colOff>
      <xdr:row>0</xdr:row>
      <xdr:rowOff>133350</xdr:rowOff>
    </xdr:from>
    <xdr:to>
      <xdr:col>13</xdr:col>
      <xdr:colOff>190500</xdr:colOff>
      <xdr:row>20</xdr:row>
      <xdr:rowOff>28575</xdr:rowOff>
    </xdr:to>
    <xdr:graphicFrame>
      <xdr:nvGraphicFramePr>
        <xdr:cNvPr id="2" name="Chart 2"/>
        <xdr:cNvGraphicFramePr/>
      </xdr:nvGraphicFramePr>
      <xdr:xfrm>
        <a:off x="6172200" y="133350"/>
        <a:ext cx="25908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666750</xdr:colOff>
      <xdr:row>20</xdr:row>
      <xdr:rowOff>161925</xdr:rowOff>
    </xdr:to>
    <xdr:graphicFrame>
      <xdr:nvGraphicFramePr>
        <xdr:cNvPr id="1" name="Chart 1"/>
        <xdr:cNvGraphicFramePr/>
      </xdr:nvGraphicFramePr>
      <xdr:xfrm>
        <a:off x="762000" y="190500"/>
        <a:ext cx="37147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="90" zoomScaleNormal="90" zoomScaleSheetLayoutView="110" workbookViewId="0" topLeftCell="A1">
      <pane ySplit="8" topLeftCell="BM21" activePane="bottomLeft" state="frozen"/>
      <selection pane="topLeft" activeCell="A1" sqref="A1"/>
      <selection pane="bottomLeft" activeCell="D7" sqref="D7"/>
    </sheetView>
  </sheetViews>
  <sheetFormatPr defaultColWidth="11.8515625" defaultRowHeight="15"/>
  <cols>
    <col min="1" max="1" width="13.00390625" style="1" customWidth="1"/>
    <col min="2" max="2" width="8.00390625" style="1" customWidth="1"/>
    <col min="3" max="3" width="9.140625" style="1" customWidth="1"/>
    <col min="4" max="4" width="7.28125" style="1" customWidth="1"/>
    <col min="5" max="5" width="7.7109375" style="1" customWidth="1"/>
    <col min="6" max="6" width="7.7109375" style="2" customWidth="1"/>
    <col min="7" max="7" width="7.7109375" style="0" customWidth="1"/>
    <col min="8" max="8" width="9.28125" style="0" customWidth="1"/>
    <col min="9" max="9" width="7.7109375" style="0" customWidth="1"/>
    <col min="10" max="10" width="8.7109375" style="0" customWidth="1"/>
    <col min="11" max="11" width="9.7109375" style="2" customWidth="1"/>
    <col min="12" max="12" width="6.7109375" style="0" customWidth="1"/>
    <col min="13" max="13" width="7.28125" style="0" customWidth="1"/>
    <col min="14" max="14" width="7.8515625" style="1" customWidth="1"/>
    <col min="15" max="16" width="9.28125" style="0" customWidth="1"/>
    <col min="17" max="17" width="39.00390625" style="0" customWidth="1"/>
  </cols>
  <sheetData>
    <row r="1" spans="1:18" ht="13.5">
      <c r="A1" s="3" t="s">
        <v>55</v>
      </c>
      <c r="B1" s="3"/>
      <c r="C1" s="3"/>
      <c r="D1" s="4"/>
      <c r="E1" s="4"/>
      <c r="F1" s="5"/>
      <c r="N1" s="3" t="s">
        <v>56</v>
      </c>
      <c r="O1" s="6"/>
      <c r="P1" s="6"/>
      <c r="Q1" s="6"/>
      <c r="R1" s="6"/>
    </row>
    <row r="2" spans="4:18" ht="13.5">
      <c r="D2" s="7"/>
      <c r="E2" s="7"/>
      <c r="F2" s="8"/>
      <c r="H2" s="9" t="s">
        <v>54</v>
      </c>
      <c r="I2" s="10"/>
      <c r="J2" s="10"/>
      <c r="K2" s="11"/>
      <c r="N2" s="1" t="s">
        <v>57</v>
      </c>
      <c r="O2" s="6"/>
      <c r="P2" s="6"/>
      <c r="Q2" s="6"/>
      <c r="R2" s="6"/>
    </row>
    <row r="3" spans="1:18" ht="27.75">
      <c r="A3" s="12" t="s">
        <v>58</v>
      </c>
      <c r="B3" s="13" t="s">
        <v>59</v>
      </c>
      <c r="C3" s="13" t="s">
        <v>60</v>
      </c>
      <c r="D3" s="13" t="s">
        <v>61</v>
      </c>
      <c r="E3" s="13"/>
      <c r="F3" s="14"/>
      <c r="G3" s="15"/>
      <c r="H3" s="16" t="s">
        <v>62</v>
      </c>
      <c r="I3" s="17" t="s">
        <v>63</v>
      </c>
      <c r="J3" s="18" t="s">
        <v>64</v>
      </c>
      <c r="K3" s="19" t="s">
        <v>65</v>
      </c>
      <c r="M3" s="20"/>
      <c r="N3" s="1" t="s">
        <v>66</v>
      </c>
      <c r="O3" s="6"/>
      <c r="P3" s="6"/>
      <c r="Q3" s="6"/>
      <c r="R3" s="6"/>
    </row>
    <row r="4" spans="1:18" ht="13.5">
      <c r="A4" s="21"/>
      <c r="B4" s="22">
        <v>3.785</v>
      </c>
      <c r="C4" s="23">
        <v>10.53</v>
      </c>
      <c r="D4" s="1">
        <v>-65</v>
      </c>
      <c r="G4" s="15"/>
      <c r="H4" s="24">
        <v>451</v>
      </c>
      <c r="I4" s="25">
        <f>AVERAGE(O10:O34)</f>
        <v>9.963395344187873</v>
      </c>
      <c r="J4" s="26">
        <v>8</v>
      </c>
      <c r="K4" s="27">
        <f>H4/(I4*J4)</f>
        <v>5.65821168913931</v>
      </c>
      <c r="L4" s="28"/>
      <c r="M4" s="28"/>
      <c r="N4" s="1" t="s">
        <v>67</v>
      </c>
      <c r="O4" s="6"/>
      <c r="P4" s="6"/>
      <c r="Q4" s="6"/>
      <c r="R4" s="6"/>
    </row>
    <row r="5" spans="2:18" ht="13.5">
      <c r="B5" s="29"/>
      <c r="C5" s="29"/>
      <c r="D5" s="30"/>
      <c r="E5" s="30"/>
      <c r="F5" s="31"/>
      <c r="G5" s="32"/>
      <c r="H5" s="33"/>
      <c r="I5" s="34"/>
      <c r="J5" s="28"/>
      <c r="K5" s="28"/>
      <c r="L5" s="28"/>
      <c r="M5" s="28"/>
      <c r="N5" s="1" t="s">
        <v>68</v>
      </c>
      <c r="O5" s="6"/>
      <c r="P5" s="6"/>
      <c r="Q5" s="6"/>
      <c r="R5" s="6"/>
    </row>
    <row r="6" spans="1:13" ht="13.5">
      <c r="A6" s="1" t="s">
        <v>69</v>
      </c>
      <c r="B6" s="29">
        <f>Calibrations!B47</f>
        <v>630.9594999999999</v>
      </c>
      <c r="C6" s="29"/>
      <c r="D6" s="35" t="s">
        <v>70</v>
      </c>
      <c r="E6" s="35"/>
      <c r="F6" s="28"/>
      <c r="G6" s="2"/>
      <c r="H6" s="2"/>
      <c r="M6" t="s">
        <v>71</v>
      </c>
    </row>
    <row r="7" spans="1:17" s="43" customFormat="1" ht="84" customHeight="1">
      <c r="A7" s="36" t="s">
        <v>72</v>
      </c>
      <c r="B7" s="36" t="s">
        <v>73</v>
      </c>
      <c r="C7" s="36" t="s">
        <v>73</v>
      </c>
      <c r="D7" s="37" t="s">
        <v>74</v>
      </c>
      <c r="E7" s="38" t="s">
        <v>75</v>
      </c>
      <c r="F7" s="39" t="s">
        <v>76</v>
      </c>
      <c r="G7" s="40" t="s">
        <v>77</v>
      </c>
      <c r="H7" s="40" t="s">
        <v>78</v>
      </c>
      <c r="I7" s="40" t="s">
        <v>79</v>
      </c>
      <c r="J7" s="40" t="s">
        <v>79</v>
      </c>
      <c r="K7" s="41" t="s">
        <v>80</v>
      </c>
      <c r="L7" s="40" t="s">
        <v>81</v>
      </c>
      <c r="M7" s="40" t="s">
        <v>81</v>
      </c>
      <c r="N7" s="42" t="s">
        <v>82</v>
      </c>
      <c r="O7" s="40" t="s">
        <v>83</v>
      </c>
      <c r="P7" s="40" t="s">
        <v>84</v>
      </c>
      <c r="Q7" s="43" t="s">
        <v>85</v>
      </c>
    </row>
    <row r="8" spans="1:16" s="43" customFormat="1" ht="27.75">
      <c r="A8" s="36"/>
      <c r="B8" s="44" t="s">
        <v>86</v>
      </c>
      <c r="C8" s="44" t="s">
        <v>87</v>
      </c>
      <c r="D8" s="37" t="s">
        <v>88</v>
      </c>
      <c r="E8" s="37" t="s">
        <v>88</v>
      </c>
      <c r="F8" s="45" t="s">
        <v>88</v>
      </c>
      <c r="G8" s="43" t="s">
        <v>89</v>
      </c>
      <c r="H8" s="43" t="s">
        <v>90</v>
      </c>
      <c r="I8" s="43" t="s">
        <v>89</v>
      </c>
      <c r="J8" s="43" t="s">
        <v>90</v>
      </c>
      <c r="K8" s="45" t="s">
        <v>91</v>
      </c>
      <c r="L8" s="43" t="s">
        <v>92</v>
      </c>
      <c r="M8" s="43" t="s">
        <v>93</v>
      </c>
      <c r="N8" s="37"/>
      <c r="O8" s="46" t="s">
        <v>94</v>
      </c>
      <c r="P8" s="46" t="s">
        <v>95</v>
      </c>
    </row>
    <row r="9" spans="1:16" ht="13.5">
      <c r="A9" s="47">
        <v>40433</v>
      </c>
      <c r="B9" s="48">
        <v>19</v>
      </c>
      <c r="C9" s="48">
        <v>0</v>
      </c>
      <c r="D9" s="37">
        <v>61</v>
      </c>
      <c r="E9" s="37"/>
      <c r="F9" s="49"/>
      <c r="G9" s="50">
        <f aca="true" t="shared" si="0" ref="G9:G23">D9*$C$4+$D$4</f>
        <v>577.3299999999999</v>
      </c>
      <c r="H9" s="50">
        <f aca="true" t="shared" si="1" ref="H9:H23">G9/$B$4</f>
        <v>152.53104359313076</v>
      </c>
      <c r="I9" s="50"/>
      <c r="J9" s="50"/>
      <c r="K9" s="2" t="s">
        <v>96</v>
      </c>
      <c r="L9" s="50"/>
      <c r="M9" s="50"/>
      <c r="N9" s="51">
        <v>9</v>
      </c>
      <c r="O9" s="52"/>
      <c r="P9" s="52"/>
    </row>
    <row r="10" spans="1:16" ht="13.5">
      <c r="A10" s="53">
        <v>40434</v>
      </c>
      <c r="B10" s="48">
        <v>9</v>
      </c>
      <c r="C10" s="48">
        <v>0</v>
      </c>
      <c r="D10" s="51">
        <v>58</v>
      </c>
      <c r="E10" s="51"/>
      <c r="F10" s="2">
        <f aca="true" t="shared" si="2" ref="F10:F23">D9+E10-D10</f>
        <v>3</v>
      </c>
      <c r="G10" s="50">
        <f t="shared" si="0"/>
        <v>545.74</v>
      </c>
      <c r="H10" s="50">
        <f t="shared" si="1"/>
        <v>144.18494055482165</v>
      </c>
      <c r="I10" s="50">
        <f aca="true" t="shared" si="3" ref="I10:I23">F10*$C$4</f>
        <v>31.589999999999996</v>
      </c>
      <c r="J10" s="50">
        <f aca="true" t="shared" si="4" ref="J10:J23">I10/$B$4</f>
        <v>8.346103038309113</v>
      </c>
      <c r="K10" s="2">
        <f aca="true" t="shared" si="5" ref="K10:K23">(A10-A9-1)*24+B10+C10/60+23-B9+(60-C9)/60</f>
        <v>14</v>
      </c>
      <c r="L10" s="50">
        <f aca="true" t="shared" si="6" ref="L10:L35">(I10/K10)*24</f>
        <v>54.154285714285706</v>
      </c>
      <c r="M10" s="50">
        <f aca="true" t="shared" si="7" ref="M10:M35">L10/$B$4</f>
        <v>14.307605208529909</v>
      </c>
      <c r="N10" s="51">
        <v>9</v>
      </c>
      <c r="O10" s="50">
        <f aca="true" t="shared" si="8" ref="O10:O23">L10/N10</f>
        <v>6.017142857142856</v>
      </c>
      <c r="P10" s="50">
        <f aca="true" t="shared" si="9" ref="P10:P35">O10/$B$4</f>
        <v>1.5897339120588787</v>
      </c>
    </row>
    <row r="11" spans="1:16" ht="13.5">
      <c r="A11" s="53">
        <v>40435</v>
      </c>
      <c r="B11" s="48">
        <v>8</v>
      </c>
      <c r="C11" s="48">
        <v>30</v>
      </c>
      <c r="D11" s="51">
        <v>50</v>
      </c>
      <c r="E11" s="51"/>
      <c r="F11" s="2">
        <f t="shared" si="2"/>
        <v>8</v>
      </c>
      <c r="G11" s="50">
        <f t="shared" si="0"/>
        <v>461.5</v>
      </c>
      <c r="H11" s="50">
        <f t="shared" si="1"/>
        <v>121.92866578599735</v>
      </c>
      <c r="I11" s="50">
        <f t="shared" si="3"/>
        <v>84.24</v>
      </c>
      <c r="J11" s="50">
        <f t="shared" si="4"/>
        <v>22.256274768824305</v>
      </c>
      <c r="K11" s="2">
        <f t="shared" si="5"/>
        <v>23.5</v>
      </c>
      <c r="L11" s="50">
        <f t="shared" si="6"/>
        <v>86.03234042553191</v>
      </c>
      <c r="M11" s="50">
        <f t="shared" si="7"/>
        <v>22.72981252986312</v>
      </c>
      <c r="N11" s="51">
        <v>9</v>
      </c>
      <c r="O11" s="50">
        <f t="shared" si="8"/>
        <v>9.559148936170212</v>
      </c>
      <c r="P11" s="50">
        <f t="shared" si="9"/>
        <v>2.5255347255403464</v>
      </c>
    </row>
    <row r="12" spans="1:16" ht="13.5">
      <c r="A12" s="53">
        <v>40436</v>
      </c>
      <c r="B12" s="1">
        <v>8</v>
      </c>
      <c r="C12" s="1">
        <v>30</v>
      </c>
      <c r="D12" s="1">
        <v>43</v>
      </c>
      <c r="F12" s="2">
        <f t="shared" si="2"/>
        <v>7</v>
      </c>
      <c r="G12" s="50">
        <f t="shared" si="0"/>
        <v>387.78999999999996</v>
      </c>
      <c r="H12" s="50">
        <f t="shared" si="1"/>
        <v>102.45442536327607</v>
      </c>
      <c r="I12" s="50">
        <f t="shared" si="3"/>
        <v>73.71</v>
      </c>
      <c r="J12" s="50">
        <f t="shared" si="4"/>
        <v>19.474240422721266</v>
      </c>
      <c r="K12" s="2">
        <f t="shared" si="5"/>
        <v>24</v>
      </c>
      <c r="L12" s="50">
        <f t="shared" si="6"/>
        <v>73.71</v>
      </c>
      <c r="M12" s="50">
        <f t="shared" si="7"/>
        <v>19.474240422721266</v>
      </c>
      <c r="N12" s="51">
        <v>9</v>
      </c>
      <c r="O12" s="50">
        <f t="shared" si="8"/>
        <v>8.19</v>
      </c>
      <c r="P12" s="50">
        <f t="shared" si="9"/>
        <v>2.163804491413474</v>
      </c>
    </row>
    <row r="13" spans="1:17" ht="13.5">
      <c r="A13" s="53">
        <v>40437</v>
      </c>
      <c r="B13" s="48">
        <v>8</v>
      </c>
      <c r="C13" s="48">
        <v>27</v>
      </c>
      <c r="D13" s="51">
        <v>58</v>
      </c>
      <c r="E13" s="51">
        <v>22</v>
      </c>
      <c r="F13" s="2">
        <f t="shared" si="2"/>
        <v>7</v>
      </c>
      <c r="G13" s="50">
        <f t="shared" si="0"/>
        <v>545.74</v>
      </c>
      <c r="H13" s="50">
        <f t="shared" si="1"/>
        <v>144.18494055482165</v>
      </c>
      <c r="I13" s="50">
        <f t="shared" si="3"/>
        <v>73.71</v>
      </c>
      <c r="J13" s="50">
        <f t="shared" si="4"/>
        <v>19.474240422721266</v>
      </c>
      <c r="K13" s="2">
        <f t="shared" si="5"/>
        <v>23.95</v>
      </c>
      <c r="L13" s="50">
        <f t="shared" si="6"/>
        <v>73.86388308977035</v>
      </c>
      <c r="M13" s="50">
        <f t="shared" si="7"/>
        <v>19.5148964570067</v>
      </c>
      <c r="N13" s="51">
        <v>9</v>
      </c>
      <c r="O13" s="50">
        <f t="shared" si="8"/>
        <v>8.207098121085595</v>
      </c>
      <c r="P13" s="50">
        <f t="shared" si="9"/>
        <v>2.1683218285562997</v>
      </c>
      <c r="Q13" t="s">
        <v>97</v>
      </c>
    </row>
    <row r="14" spans="1:16" ht="13.5">
      <c r="A14" s="53">
        <v>40438</v>
      </c>
      <c r="B14" s="48">
        <v>8</v>
      </c>
      <c r="C14" s="48">
        <v>31</v>
      </c>
      <c r="D14" s="51">
        <v>51</v>
      </c>
      <c r="E14" s="51"/>
      <c r="F14" s="2">
        <f t="shared" si="2"/>
        <v>7</v>
      </c>
      <c r="G14" s="50">
        <f t="shared" si="0"/>
        <v>472.03</v>
      </c>
      <c r="H14" s="50">
        <f t="shared" si="1"/>
        <v>124.71070013210038</v>
      </c>
      <c r="I14" s="50">
        <f t="shared" si="3"/>
        <v>73.71</v>
      </c>
      <c r="J14" s="50">
        <f t="shared" si="4"/>
        <v>19.474240422721266</v>
      </c>
      <c r="K14" s="2">
        <f t="shared" si="5"/>
        <v>24.066666666666666</v>
      </c>
      <c r="L14" s="50">
        <f t="shared" si="6"/>
        <v>73.50581717451523</v>
      </c>
      <c r="M14" s="50">
        <f t="shared" si="7"/>
        <v>19.4202951583924</v>
      </c>
      <c r="N14" s="51">
        <v>9</v>
      </c>
      <c r="O14" s="50">
        <f t="shared" si="8"/>
        <v>8.167313019390582</v>
      </c>
      <c r="P14" s="50">
        <f t="shared" si="9"/>
        <v>2.1578105731547113</v>
      </c>
    </row>
    <row r="15" spans="1:17" ht="13.5">
      <c r="A15" s="53">
        <v>40439</v>
      </c>
      <c r="B15" s="1">
        <v>8</v>
      </c>
      <c r="C15" s="1">
        <v>25</v>
      </c>
      <c r="D15" s="1">
        <v>60</v>
      </c>
      <c r="E15" s="1">
        <v>18</v>
      </c>
      <c r="F15" s="2">
        <f t="shared" si="2"/>
        <v>9</v>
      </c>
      <c r="G15" s="50">
        <f t="shared" si="0"/>
        <v>566.8</v>
      </c>
      <c r="H15" s="50">
        <f t="shared" si="1"/>
        <v>149.74900924702771</v>
      </c>
      <c r="I15" s="50">
        <f t="shared" si="3"/>
        <v>94.77</v>
      </c>
      <c r="J15" s="50">
        <f t="shared" si="4"/>
        <v>25.038309114927344</v>
      </c>
      <c r="K15" s="2">
        <f t="shared" si="5"/>
        <v>23.9</v>
      </c>
      <c r="L15" s="50">
        <f t="shared" si="6"/>
        <v>95.16652719665272</v>
      </c>
      <c r="M15" s="50">
        <f t="shared" si="7"/>
        <v>25.143071914571394</v>
      </c>
      <c r="N15" s="1">
        <v>8</v>
      </c>
      <c r="O15" s="50">
        <f t="shared" si="8"/>
        <v>11.89581589958159</v>
      </c>
      <c r="P15" s="50">
        <f t="shared" si="9"/>
        <v>3.142883989321424</v>
      </c>
      <c r="Q15" t="s">
        <v>98</v>
      </c>
    </row>
    <row r="16" spans="1:17" ht="13.5">
      <c r="A16" s="53">
        <v>40440</v>
      </c>
      <c r="B16" s="1">
        <v>14</v>
      </c>
      <c r="C16" s="1">
        <v>0</v>
      </c>
      <c r="D16" s="1">
        <v>54</v>
      </c>
      <c r="E16" s="1">
        <v>0</v>
      </c>
      <c r="F16" s="2">
        <f t="shared" si="2"/>
        <v>6</v>
      </c>
      <c r="G16" s="50">
        <f t="shared" si="0"/>
        <v>503.62</v>
      </c>
      <c r="H16" s="50">
        <f t="shared" si="1"/>
        <v>133.0568031704095</v>
      </c>
      <c r="I16" s="50">
        <f t="shared" si="3"/>
        <v>63.17999999999999</v>
      </c>
      <c r="J16" s="50">
        <f t="shared" si="4"/>
        <v>16.692206076618227</v>
      </c>
      <c r="K16" s="2">
        <f t="shared" si="5"/>
        <v>29.583333333333332</v>
      </c>
      <c r="L16" s="50">
        <f t="shared" si="6"/>
        <v>51.255887323943654</v>
      </c>
      <c r="M16" s="50">
        <f t="shared" si="7"/>
        <v>13.541846056524083</v>
      </c>
      <c r="N16" s="1">
        <v>8</v>
      </c>
      <c r="O16" s="50">
        <f t="shared" si="8"/>
        <v>6.406985915492957</v>
      </c>
      <c r="P16" s="50">
        <f t="shared" si="9"/>
        <v>1.6927307570655103</v>
      </c>
      <c r="Q16" t="s">
        <v>99</v>
      </c>
    </row>
    <row r="17" spans="1:16" ht="13.5">
      <c r="A17" s="53">
        <v>40441</v>
      </c>
      <c r="B17" s="1">
        <v>8</v>
      </c>
      <c r="C17" s="1">
        <v>30</v>
      </c>
      <c r="D17" s="1">
        <v>59</v>
      </c>
      <c r="E17" s="1">
        <v>6</v>
      </c>
      <c r="F17" s="2">
        <f t="shared" si="2"/>
        <v>1</v>
      </c>
      <c r="G17" s="50">
        <f t="shared" si="0"/>
        <v>556.27</v>
      </c>
      <c r="H17" s="50">
        <f t="shared" si="1"/>
        <v>146.9669749009247</v>
      </c>
      <c r="I17" s="50">
        <f t="shared" si="3"/>
        <v>10.53</v>
      </c>
      <c r="J17" s="50">
        <f t="shared" si="4"/>
        <v>2.782034346103038</v>
      </c>
      <c r="K17" s="2">
        <f t="shared" si="5"/>
        <v>18.5</v>
      </c>
      <c r="L17" s="50">
        <f t="shared" si="6"/>
        <v>13.66054054054054</v>
      </c>
      <c r="M17" s="50">
        <f t="shared" si="7"/>
        <v>3.609125638187725</v>
      </c>
      <c r="N17" s="1">
        <v>8</v>
      </c>
      <c r="O17" s="50">
        <f t="shared" si="8"/>
        <v>1.7075675675675674</v>
      </c>
      <c r="P17" s="50">
        <f t="shared" si="9"/>
        <v>0.45114070477346563</v>
      </c>
    </row>
    <row r="18" spans="1:16" ht="13.5">
      <c r="A18" s="53">
        <v>40442</v>
      </c>
      <c r="B18" s="1">
        <v>8</v>
      </c>
      <c r="C18" s="1">
        <v>35</v>
      </c>
      <c r="D18" s="1">
        <v>50</v>
      </c>
      <c r="E18" s="1">
        <v>0</v>
      </c>
      <c r="F18" s="2">
        <f t="shared" si="2"/>
        <v>9</v>
      </c>
      <c r="G18" s="50">
        <f t="shared" si="0"/>
        <v>461.5</v>
      </c>
      <c r="H18" s="50">
        <f t="shared" si="1"/>
        <v>121.92866578599735</v>
      </c>
      <c r="I18" s="50">
        <f t="shared" si="3"/>
        <v>94.77</v>
      </c>
      <c r="J18" s="50">
        <f t="shared" si="4"/>
        <v>25.038309114927344</v>
      </c>
      <c r="K18" s="2">
        <f t="shared" si="5"/>
        <v>24.083333333333336</v>
      </c>
      <c r="L18" s="50">
        <f t="shared" si="6"/>
        <v>94.44207612456746</v>
      </c>
      <c r="M18" s="50">
        <f t="shared" si="7"/>
        <v>24.951671367124824</v>
      </c>
      <c r="N18" s="1">
        <v>9</v>
      </c>
      <c r="O18" s="50">
        <f t="shared" si="8"/>
        <v>10.49356401384083</v>
      </c>
      <c r="P18" s="50">
        <f t="shared" si="9"/>
        <v>2.7724079296805364</v>
      </c>
    </row>
    <row r="19" spans="1:16" ht="13.5">
      <c r="A19" s="53">
        <v>40443</v>
      </c>
      <c r="B19" s="1">
        <v>8</v>
      </c>
      <c r="C19" s="1">
        <v>30</v>
      </c>
      <c r="D19" s="1">
        <v>40.5</v>
      </c>
      <c r="E19" s="1">
        <v>0</v>
      </c>
      <c r="F19" s="2">
        <f t="shared" si="2"/>
        <v>9.5</v>
      </c>
      <c r="G19" s="50">
        <f t="shared" si="0"/>
        <v>361.465</v>
      </c>
      <c r="H19" s="50">
        <f t="shared" si="1"/>
        <v>95.49933949801849</v>
      </c>
      <c r="I19" s="50">
        <f t="shared" si="3"/>
        <v>100.035</v>
      </c>
      <c r="J19" s="50">
        <f t="shared" si="4"/>
        <v>26.429326287978864</v>
      </c>
      <c r="K19" s="2">
        <f t="shared" si="5"/>
        <v>23.916666666666668</v>
      </c>
      <c r="L19" s="50">
        <f t="shared" si="6"/>
        <v>100.38355400696864</v>
      </c>
      <c r="M19" s="50">
        <f t="shared" si="7"/>
        <v>26.521414532884712</v>
      </c>
      <c r="N19" s="1">
        <v>9</v>
      </c>
      <c r="O19" s="50">
        <f t="shared" si="8"/>
        <v>11.153728222996515</v>
      </c>
      <c r="P19" s="50">
        <f t="shared" si="9"/>
        <v>2.94682383698719</v>
      </c>
    </row>
    <row r="20" spans="1:17" ht="13.5">
      <c r="A20" s="53">
        <v>40444</v>
      </c>
      <c r="B20" s="1">
        <v>9</v>
      </c>
      <c r="C20" s="1">
        <v>0</v>
      </c>
      <c r="D20" s="1">
        <v>58.4</v>
      </c>
      <c r="E20" s="1">
        <f>65-36</f>
        <v>29</v>
      </c>
      <c r="F20" s="2">
        <f t="shared" si="2"/>
        <v>11.100000000000001</v>
      </c>
      <c r="G20" s="50">
        <f t="shared" si="0"/>
        <v>549.952</v>
      </c>
      <c r="H20" s="50">
        <f t="shared" si="1"/>
        <v>145.29775429326287</v>
      </c>
      <c r="I20" s="50">
        <f t="shared" si="3"/>
        <v>116.88300000000001</v>
      </c>
      <c r="J20" s="50">
        <f t="shared" si="4"/>
        <v>30.880581241743727</v>
      </c>
      <c r="K20" s="2">
        <f t="shared" si="5"/>
        <v>24.5</v>
      </c>
      <c r="L20" s="50">
        <f t="shared" si="6"/>
        <v>114.49763265306123</v>
      </c>
      <c r="M20" s="50">
        <f t="shared" si="7"/>
        <v>30.25036529803467</v>
      </c>
      <c r="N20" s="1">
        <v>9</v>
      </c>
      <c r="O20" s="50">
        <f t="shared" si="8"/>
        <v>12.72195918367347</v>
      </c>
      <c r="P20" s="50">
        <f t="shared" si="9"/>
        <v>3.36115169978163</v>
      </c>
      <c r="Q20" t="s">
        <v>100</v>
      </c>
    </row>
    <row r="21" spans="1:16" ht="13.5">
      <c r="A21" s="53">
        <v>40445</v>
      </c>
      <c r="B21" s="1">
        <v>8</v>
      </c>
      <c r="C21" s="1">
        <v>30</v>
      </c>
      <c r="D21" s="1">
        <v>53.5</v>
      </c>
      <c r="E21" s="1">
        <v>0</v>
      </c>
      <c r="F21" s="2">
        <f t="shared" si="2"/>
        <v>4.899999999999999</v>
      </c>
      <c r="G21" s="50">
        <f t="shared" si="0"/>
        <v>498.355</v>
      </c>
      <c r="H21" s="50">
        <f t="shared" si="1"/>
        <v>131.665785997358</v>
      </c>
      <c r="I21" s="50">
        <f t="shared" si="3"/>
        <v>51.59699999999998</v>
      </c>
      <c r="J21" s="50">
        <f t="shared" si="4"/>
        <v>13.631968295904882</v>
      </c>
      <c r="K21" s="2">
        <f t="shared" si="5"/>
        <v>23.5</v>
      </c>
      <c r="L21" s="50">
        <f t="shared" si="6"/>
        <v>52.69480851063828</v>
      </c>
      <c r="M21" s="50">
        <f t="shared" si="7"/>
        <v>13.922010174541157</v>
      </c>
      <c r="N21" s="1">
        <v>8</v>
      </c>
      <c r="O21" s="50">
        <f t="shared" si="8"/>
        <v>6.586851063829785</v>
      </c>
      <c r="P21" s="50">
        <f t="shared" si="9"/>
        <v>1.7402512718176446</v>
      </c>
    </row>
    <row r="22" spans="1:16" ht="13.5">
      <c r="A22" s="53">
        <v>40446</v>
      </c>
      <c r="B22" s="1">
        <v>8</v>
      </c>
      <c r="C22" s="1">
        <v>47</v>
      </c>
      <c r="D22" s="1">
        <v>40</v>
      </c>
      <c r="E22" s="1">
        <v>0</v>
      </c>
      <c r="F22" s="2">
        <f t="shared" si="2"/>
        <v>13.5</v>
      </c>
      <c r="G22" s="50">
        <f t="shared" si="0"/>
        <v>356.2</v>
      </c>
      <c r="H22" s="50">
        <f t="shared" si="1"/>
        <v>94.10832232496696</v>
      </c>
      <c r="I22" s="50">
        <f t="shared" si="3"/>
        <v>142.155</v>
      </c>
      <c r="J22" s="50">
        <f t="shared" si="4"/>
        <v>37.557463672391016</v>
      </c>
      <c r="K22" s="2">
        <f t="shared" si="5"/>
        <v>24.28333333333333</v>
      </c>
      <c r="L22" s="50">
        <f t="shared" si="6"/>
        <v>140.49636238846946</v>
      </c>
      <c r="M22" s="50">
        <f t="shared" si="7"/>
        <v>37.119250300784536</v>
      </c>
      <c r="N22" s="1">
        <v>7</v>
      </c>
      <c r="O22" s="50">
        <f t="shared" si="8"/>
        <v>20.070908912638494</v>
      </c>
      <c r="P22" s="50">
        <f t="shared" si="9"/>
        <v>5.302750042969219</v>
      </c>
    </row>
    <row r="23" spans="1:17" ht="13.5">
      <c r="A23" s="53">
        <v>40447</v>
      </c>
      <c r="B23" s="1">
        <v>10</v>
      </c>
      <c r="C23" s="1">
        <v>0</v>
      </c>
      <c r="D23" s="1">
        <v>32</v>
      </c>
      <c r="E23" s="1">
        <v>0</v>
      </c>
      <c r="F23" s="2">
        <f t="shared" si="2"/>
        <v>8</v>
      </c>
      <c r="G23" s="50">
        <f t="shared" si="0"/>
        <v>271.96</v>
      </c>
      <c r="H23" s="50">
        <f t="shared" si="1"/>
        <v>71.85204755614267</v>
      </c>
      <c r="I23" s="50">
        <f t="shared" si="3"/>
        <v>84.24</v>
      </c>
      <c r="J23" s="50">
        <f t="shared" si="4"/>
        <v>22.256274768824305</v>
      </c>
      <c r="K23" s="2">
        <f t="shared" si="5"/>
        <v>25.216666666666665</v>
      </c>
      <c r="L23" s="50">
        <f t="shared" si="6"/>
        <v>80.17554527428949</v>
      </c>
      <c r="M23" s="50">
        <f t="shared" si="7"/>
        <v>21.18244260879511</v>
      </c>
      <c r="N23" s="1">
        <v>7</v>
      </c>
      <c r="O23" s="50">
        <f t="shared" si="8"/>
        <v>11.453649324898498</v>
      </c>
      <c r="P23" s="50">
        <f t="shared" si="9"/>
        <v>3.0260632298278725</v>
      </c>
      <c r="Q23" t="s">
        <v>101</v>
      </c>
    </row>
    <row r="24" spans="1:16" ht="13.5">
      <c r="A24" s="53">
        <v>40451</v>
      </c>
      <c r="B24" s="1">
        <v>14</v>
      </c>
      <c r="C24" s="1">
        <v>0</v>
      </c>
      <c r="D24" s="1">
        <v>63</v>
      </c>
      <c r="E24" s="1" t="s">
        <v>96</v>
      </c>
      <c r="F24" s="2" t="s">
        <v>96</v>
      </c>
      <c r="G24" s="2" t="s">
        <v>96</v>
      </c>
      <c r="H24" s="2" t="s">
        <v>96</v>
      </c>
      <c r="I24" s="2" t="s">
        <v>96</v>
      </c>
      <c r="J24" s="2" t="s">
        <v>96</v>
      </c>
      <c r="L24" s="50" t="e">
        <f t="shared" si="6"/>
        <v>#VALUE!</v>
      </c>
      <c r="M24" s="50" t="e">
        <f t="shared" si="7"/>
        <v>#VALUE!</v>
      </c>
      <c r="O24" s="50"/>
      <c r="P24" s="50">
        <f t="shared" si="9"/>
        <v>0</v>
      </c>
    </row>
    <row r="25" spans="1:16" ht="13.5">
      <c r="A25" s="53">
        <v>40452</v>
      </c>
      <c r="B25" s="1">
        <v>8</v>
      </c>
      <c r="C25" s="1">
        <v>20</v>
      </c>
      <c r="D25" s="1">
        <v>59</v>
      </c>
      <c r="E25" s="1">
        <v>0</v>
      </c>
      <c r="F25" s="2">
        <f aca="true" t="shared" si="10" ref="F25:F45">D24+E25-D25</f>
        <v>4</v>
      </c>
      <c r="G25" s="50">
        <f aca="true" t="shared" si="11" ref="G25:G45">D25*$C$4+$D$4</f>
        <v>556.27</v>
      </c>
      <c r="H25" s="50">
        <f aca="true" t="shared" si="12" ref="H25:H45">G25/$B$4</f>
        <v>146.9669749009247</v>
      </c>
      <c r="I25" s="50">
        <f aca="true" t="shared" si="13" ref="I25:I45">F25*$C$4</f>
        <v>42.12</v>
      </c>
      <c r="J25" s="50">
        <f aca="true" t="shared" si="14" ref="J25:J45">I25/$B$4</f>
        <v>11.128137384412152</v>
      </c>
      <c r="K25" s="2">
        <f aca="true" t="shared" si="15" ref="K25:K45">(A25-A24-1)*24+B25+C25/60+23-B24+(60-C24)/60</f>
        <v>18.333333333333336</v>
      </c>
      <c r="L25" s="50">
        <f t="shared" si="6"/>
        <v>55.13890909090908</v>
      </c>
      <c r="M25" s="50">
        <f t="shared" si="7"/>
        <v>14.567743485048634</v>
      </c>
      <c r="N25" s="1">
        <v>9</v>
      </c>
      <c r="O25" s="50">
        <f aca="true" t="shared" si="16" ref="O25:O35">L25/N25</f>
        <v>6.126545454545454</v>
      </c>
      <c r="P25" s="50">
        <f t="shared" si="9"/>
        <v>1.6186381650054038</v>
      </c>
    </row>
    <row r="26" spans="1:16" ht="13.5">
      <c r="A26" s="53">
        <v>40453</v>
      </c>
      <c r="B26" s="1">
        <v>9</v>
      </c>
      <c r="C26" s="1">
        <v>0</v>
      </c>
      <c r="D26" s="1">
        <v>49</v>
      </c>
      <c r="E26" s="1">
        <v>0</v>
      </c>
      <c r="F26" s="2">
        <f t="shared" si="10"/>
        <v>10</v>
      </c>
      <c r="G26" s="50">
        <f t="shared" si="11"/>
        <v>450.9699999999999</v>
      </c>
      <c r="H26" s="50">
        <f t="shared" si="12"/>
        <v>119.14663143989429</v>
      </c>
      <c r="I26" s="50">
        <f t="shared" si="13"/>
        <v>105.3</v>
      </c>
      <c r="J26" s="50">
        <f t="shared" si="14"/>
        <v>27.820343461030383</v>
      </c>
      <c r="K26" s="2">
        <f t="shared" si="15"/>
        <v>24.666666666666668</v>
      </c>
      <c r="L26" s="50">
        <f t="shared" si="6"/>
        <v>102.45405405405405</v>
      </c>
      <c r="M26" s="50">
        <f t="shared" si="7"/>
        <v>27.06844228640794</v>
      </c>
      <c r="N26" s="1">
        <v>9</v>
      </c>
      <c r="O26" s="50">
        <f t="shared" si="16"/>
        <v>11.383783783783784</v>
      </c>
      <c r="P26" s="50">
        <f t="shared" si="9"/>
        <v>3.007604698489771</v>
      </c>
    </row>
    <row r="27" spans="1:16" ht="13.5">
      <c r="A27" s="53">
        <v>40454</v>
      </c>
      <c r="B27" s="1">
        <v>8</v>
      </c>
      <c r="C27" s="1">
        <v>30</v>
      </c>
      <c r="D27" s="1">
        <v>41.5</v>
      </c>
      <c r="E27" s="1">
        <v>0</v>
      </c>
      <c r="F27" s="2">
        <f t="shared" si="10"/>
        <v>7.5</v>
      </c>
      <c r="G27" s="50">
        <f t="shared" si="11"/>
        <v>371.99499999999995</v>
      </c>
      <c r="H27" s="50">
        <f t="shared" si="12"/>
        <v>98.28137384412152</v>
      </c>
      <c r="I27" s="50">
        <f t="shared" si="13"/>
        <v>78.975</v>
      </c>
      <c r="J27" s="50">
        <f t="shared" si="14"/>
        <v>20.865257595772785</v>
      </c>
      <c r="K27" s="2">
        <f t="shared" si="15"/>
        <v>23.5</v>
      </c>
      <c r="L27" s="50">
        <f t="shared" si="6"/>
        <v>80.65531914893617</v>
      </c>
      <c r="M27" s="50">
        <f t="shared" si="7"/>
        <v>21.309199246746676</v>
      </c>
      <c r="N27" s="1">
        <v>9</v>
      </c>
      <c r="O27" s="50">
        <f t="shared" si="16"/>
        <v>8.961702127659574</v>
      </c>
      <c r="P27" s="50">
        <f t="shared" si="9"/>
        <v>2.367688805194075</v>
      </c>
    </row>
    <row r="28" spans="1:16" ht="13.5">
      <c r="A28" s="53">
        <v>40455</v>
      </c>
      <c r="B28" s="1">
        <v>8</v>
      </c>
      <c r="C28" s="1">
        <v>30</v>
      </c>
      <c r="D28" s="1">
        <v>65</v>
      </c>
      <c r="E28" s="1">
        <v>33</v>
      </c>
      <c r="F28" s="2">
        <f t="shared" si="10"/>
        <v>9.5</v>
      </c>
      <c r="G28" s="50">
        <f t="shared" si="11"/>
        <v>619.4499999999999</v>
      </c>
      <c r="H28" s="50">
        <f t="shared" si="12"/>
        <v>163.65918097754292</v>
      </c>
      <c r="I28" s="50">
        <f t="shared" si="13"/>
        <v>100.035</v>
      </c>
      <c r="J28" s="50">
        <f t="shared" si="14"/>
        <v>26.429326287978864</v>
      </c>
      <c r="K28" s="2">
        <f t="shared" si="15"/>
        <v>24</v>
      </c>
      <c r="L28" s="50">
        <f t="shared" si="6"/>
        <v>100.035</v>
      </c>
      <c r="M28" s="50">
        <f t="shared" si="7"/>
        <v>26.429326287978864</v>
      </c>
      <c r="N28" s="1">
        <v>9</v>
      </c>
      <c r="O28" s="50">
        <f t="shared" si="16"/>
        <v>11.115</v>
      </c>
      <c r="P28" s="50">
        <f t="shared" si="9"/>
        <v>2.9365918097754293</v>
      </c>
    </row>
    <row r="29" spans="1:16" ht="13.5">
      <c r="A29" s="53">
        <v>40456</v>
      </c>
      <c r="B29" s="1">
        <v>8</v>
      </c>
      <c r="C29" s="1">
        <v>40</v>
      </c>
      <c r="D29" s="1">
        <v>57</v>
      </c>
      <c r="E29" s="1">
        <v>0</v>
      </c>
      <c r="F29" s="2">
        <f t="shared" si="10"/>
        <v>8</v>
      </c>
      <c r="G29" s="50">
        <f t="shared" si="11"/>
        <v>535.2099999999999</v>
      </c>
      <c r="H29" s="50">
        <f t="shared" si="12"/>
        <v>141.4029062087186</v>
      </c>
      <c r="I29" s="50">
        <f t="shared" si="13"/>
        <v>84.24</v>
      </c>
      <c r="J29" s="50">
        <f t="shared" si="14"/>
        <v>22.256274768824305</v>
      </c>
      <c r="K29" s="2">
        <f t="shared" si="15"/>
        <v>24.166666666666664</v>
      </c>
      <c r="L29" s="50">
        <f t="shared" si="6"/>
        <v>83.65903448275861</v>
      </c>
      <c r="M29" s="50">
        <f t="shared" si="7"/>
        <v>22.10278321869448</v>
      </c>
      <c r="N29" s="1">
        <v>9</v>
      </c>
      <c r="O29" s="50">
        <f t="shared" si="16"/>
        <v>9.295448275862068</v>
      </c>
      <c r="P29" s="50">
        <f t="shared" si="9"/>
        <v>2.4558648020771643</v>
      </c>
    </row>
    <row r="30" spans="1:17" ht="44.25" customHeight="1">
      <c r="A30" s="53">
        <v>40457</v>
      </c>
      <c r="B30" s="1">
        <v>8</v>
      </c>
      <c r="C30" s="1">
        <v>30</v>
      </c>
      <c r="D30" s="1">
        <v>46</v>
      </c>
      <c r="E30" s="1">
        <v>0</v>
      </c>
      <c r="F30" s="2">
        <f t="shared" si="10"/>
        <v>11</v>
      </c>
      <c r="G30" s="50">
        <f t="shared" si="11"/>
        <v>419.38</v>
      </c>
      <c r="H30" s="50">
        <f t="shared" si="12"/>
        <v>110.8005284015852</v>
      </c>
      <c r="I30" s="50">
        <f t="shared" si="13"/>
        <v>115.83</v>
      </c>
      <c r="J30" s="50">
        <f t="shared" si="14"/>
        <v>30.60237780713342</v>
      </c>
      <c r="K30" s="2">
        <f t="shared" si="15"/>
        <v>23.833333333333332</v>
      </c>
      <c r="L30" s="50">
        <f t="shared" si="6"/>
        <v>116.64000000000001</v>
      </c>
      <c r="M30" s="50">
        <f t="shared" si="7"/>
        <v>30.81638044914135</v>
      </c>
      <c r="N30" s="1">
        <v>8</v>
      </c>
      <c r="O30" s="50">
        <f t="shared" si="16"/>
        <v>14.580000000000002</v>
      </c>
      <c r="P30" s="50">
        <f t="shared" si="9"/>
        <v>3.8520475561426686</v>
      </c>
      <c r="Q30" s="54" t="s">
        <v>102</v>
      </c>
    </row>
    <row r="31" spans="1:16" s="54" customFormat="1" ht="25.5" customHeight="1">
      <c r="A31" s="55">
        <v>40458</v>
      </c>
      <c r="B31" s="4">
        <v>8</v>
      </c>
      <c r="C31" s="4">
        <v>30</v>
      </c>
      <c r="D31" s="4">
        <v>36</v>
      </c>
      <c r="E31" s="4">
        <v>0</v>
      </c>
      <c r="F31" s="5">
        <f t="shared" si="10"/>
        <v>10</v>
      </c>
      <c r="G31" s="56">
        <f t="shared" si="11"/>
        <v>314.08</v>
      </c>
      <c r="H31" s="56">
        <f t="shared" si="12"/>
        <v>82.98018494055482</v>
      </c>
      <c r="I31" s="56">
        <f t="shared" si="13"/>
        <v>105.3</v>
      </c>
      <c r="J31" s="56">
        <f t="shared" si="14"/>
        <v>27.820343461030383</v>
      </c>
      <c r="K31" s="5">
        <f t="shared" si="15"/>
        <v>24</v>
      </c>
      <c r="L31" s="56">
        <f t="shared" si="6"/>
        <v>105.30000000000001</v>
      </c>
      <c r="M31" s="56">
        <f t="shared" si="7"/>
        <v>27.820343461030387</v>
      </c>
      <c r="N31" s="4">
        <v>9</v>
      </c>
      <c r="O31" s="56">
        <f t="shared" si="16"/>
        <v>11.700000000000001</v>
      </c>
      <c r="P31" s="56">
        <f t="shared" si="9"/>
        <v>3.0911492734478205</v>
      </c>
    </row>
    <row r="32" spans="1:16" ht="13.5">
      <c r="A32" s="53">
        <v>40459</v>
      </c>
      <c r="B32" s="1">
        <v>14</v>
      </c>
      <c r="C32" s="1">
        <v>35</v>
      </c>
      <c r="D32" s="1">
        <v>65</v>
      </c>
      <c r="E32" s="1">
        <v>38</v>
      </c>
      <c r="F32" s="2">
        <f t="shared" si="10"/>
        <v>9</v>
      </c>
      <c r="G32" s="50">
        <f t="shared" si="11"/>
        <v>619.4499999999999</v>
      </c>
      <c r="H32" s="50">
        <f t="shared" si="12"/>
        <v>163.65918097754292</v>
      </c>
      <c r="I32" s="50">
        <f t="shared" si="13"/>
        <v>94.77</v>
      </c>
      <c r="J32" s="50">
        <f t="shared" si="14"/>
        <v>25.038309114927344</v>
      </c>
      <c r="K32" s="2">
        <f t="shared" si="15"/>
        <v>30.083333333333336</v>
      </c>
      <c r="L32" s="50">
        <f t="shared" si="6"/>
        <v>75.60598337950137</v>
      </c>
      <c r="M32" s="50">
        <f t="shared" si="7"/>
        <v>19.975160734346463</v>
      </c>
      <c r="N32" s="1">
        <v>8</v>
      </c>
      <c r="O32" s="50">
        <f t="shared" si="16"/>
        <v>9.450747922437671</v>
      </c>
      <c r="P32" s="50">
        <f t="shared" si="9"/>
        <v>2.496895091793308</v>
      </c>
    </row>
    <row r="33" spans="1:16" ht="13.5">
      <c r="A33" s="53">
        <v>40460</v>
      </c>
      <c r="B33" s="1">
        <v>8</v>
      </c>
      <c r="C33" s="1">
        <v>40</v>
      </c>
      <c r="D33" s="1">
        <v>59</v>
      </c>
      <c r="E33" s="1">
        <v>0</v>
      </c>
      <c r="F33" s="2">
        <f t="shared" si="10"/>
        <v>6</v>
      </c>
      <c r="G33" s="50">
        <f t="shared" si="11"/>
        <v>556.27</v>
      </c>
      <c r="H33" s="50">
        <f t="shared" si="12"/>
        <v>146.9669749009247</v>
      </c>
      <c r="I33" s="50">
        <f t="shared" si="13"/>
        <v>63.17999999999999</v>
      </c>
      <c r="J33" s="50">
        <f t="shared" si="14"/>
        <v>16.692206076618227</v>
      </c>
      <c r="K33" s="2">
        <f t="shared" si="15"/>
        <v>18.083333333333332</v>
      </c>
      <c r="L33" s="50">
        <f t="shared" si="6"/>
        <v>83.85179723502304</v>
      </c>
      <c r="M33" s="50">
        <f t="shared" si="7"/>
        <v>22.15371129062696</v>
      </c>
      <c r="N33" s="1">
        <v>8</v>
      </c>
      <c r="O33" s="50">
        <f t="shared" si="16"/>
        <v>10.48147465437788</v>
      </c>
      <c r="P33" s="50">
        <f t="shared" si="9"/>
        <v>2.76921391132837</v>
      </c>
    </row>
    <row r="34" spans="1:16" ht="13.5">
      <c r="A34" s="53">
        <v>40461</v>
      </c>
      <c r="B34" s="1">
        <v>8</v>
      </c>
      <c r="C34" s="1">
        <v>15</v>
      </c>
      <c r="D34" s="1">
        <v>49</v>
      </c>
      <c r="E34" s="1">
        <v>0</v>
      </c>
      <c r="F34" s="2">
        <f t="shared" si="10"/>
        <v>10</v>
      </c>
      <c r="G34" s="50">
        <f t="shared" si="11"/>
        <v>450.9699999999999</v>
      </c>
      <c r="H34" s="50">
        <f t="shared" si="12"/>
        <v>119.14663143989429</v>
      </c>
      <c r="I34" s="50">
        <f t="shared" si="13"/>
        <v>105.3</v>
      </c>
      <c r="J34" s="50">
        <f t="shared" si="14"/>
        <v>27.820343461030383</v>
      </c>
      <c r="K34" s="2">
        <f t="shared" si="15"/>
        <v>23.583333333333332</v>
      </c>
      <c r="L34" s="50">
        <f t="shared" si="6"/>
        <v>107.16042402826855</v>
      </c>
      <c r="M34" s="50">
        <f t="shared" si="7"/>
        <v>28.31186896387544</v>
      </c>
      <c r="N34" s="1">
        <v>8</v>
      </c>
      <c r="O34" s="50">
        <f t="shared" si="16"/>
        <v>13.395053003533569</v>
      </c>
      <c r="P34" s="50">
        <f t="shared" si="9"/>
        <v>3.53898362048443</v>
      </c>
    </row>
    <row r="35" spans="1:16" ht="22.5" customHeight="1">
      <c r="A35" s="53">
        <v>40462</v>
      </c>
      <c r="B35" s="1">
        <v>8</v>
      </c>
      <c r="C35" s="1">
        <v>35</v>
      </c>
      <c r="D35" s="1">
        <v>38</v>
      </c>
      <c r="E35" s="1">
        <v>0</v>
      </c>
      <c r="F35" s="2">
        <f t="shared" si="10"/>
        <v>11</v>
      </c>
      <c r="G35" s="50">
        <f t="shared" si="11"/>
        <v>335.14</v>
      </c>
      <c r="H35" s="50">
        <f t="shared" si="12"/>
        <v>88.54425363276088</v>
      </c>
      <c r="I35" s="50">
        <f t="shared" si="13"/>
        <v>115.83</v>
      </c>
      <c r="J35" s="50">
        <f t="shared" si="14"/>
        <v>30.60237780713342</v>
      </c>
      <c r="K35" s="2">
        <f t="shared" si="15"/>
        <v>24.333333333333336</v>
      </c>
      <c r="L35" s="50">
        <f t="shared" si="6"/>
        <v>114.24328767123288</v>
      </c>
      <c r="M35" s="50">
        <f t="shared" si="7"/>
        <v>30.183167152241182</v>
      </c>
      <c r="N35" s="1">
        <v>8</v>
      </c>
      <c r="O35" s="50">
        <f t="shared" si="16"/>
        <v>14.28041095890411</v>
      </c>
      <c r="P35" s="50">
        <f t="shared" si="9"/>
        <v>3.772895894030148</v>
      </c>
    </row>
    <row r="36" spans="1:16" ht="13.5">
      <c r="A36" s="53">
        <v>40463</v>
      </c>
      <c r="B36" s="1">
        <v>7</v>
      </c>
      <c r="C36" s="1">
        <v>30</v>
      </c>
      <c r="D36" s="1">
        <v>59.5</v>
      </c>
      <c r="E36" s="1">
        <v>33</v>
      </c>
      <c r="F36" s="2">
        <f t="shared" si="10"/>
        <v>11.5</v>
      </c>
      <c r="G36" s="50">
        <f t="shared" si="11"/>
        <v>561.535</v>
      </c>
      <c r="H36" s="50">
        <f t="shared" si="12"/>
        <v>148.35799207397622</v>
      </c>
      <c r="I36" s="50">
        <f t="shared" si="13"/>
        <v>121.095</v>
      </c>
      <c r="J36" s="50">
        <f t="shared" si="14"/>
        <v>31.993394980184938</v>
      </c>
      <c r="K36" s="2">
        <f t="shared" si="15"/>
        <v>22.916666666666668</v>
      </c>
      <c r="L36" s="50">
        <f aca="true" t="shared" si="17" ref="L36:L43">(I36/K36)*24</f>
        <v>126.8194909090909</v>
      </c>
      <c r="M36" s="50">
        <f aca="true" t="shared" si="18" ref="M36:M43">L36/$B$4</f>
        <v>33.505810015611864</v>
      </c>
      <c r="N36" s="1">
        <v>8</v>
      </c>
      <c r="O36" s="50">
        <f aca="true" t="shared" si="19" ref="O36:O43">L36/N36</f>
        <v>15.852436363636363</v>
      </c>
      <c r="P36" s="50">
        <f aca="true" t="shared" si="20" ref="P36:P43">O36/$B$4</f>
        <v>4.188226251951483</v>
      </c>
    </row>
    <row r="37" spans="1:16" ht="13.5">
      <c r="A37" s="53">
        <v>40464</v>
      </c>
      <c r="B37" s="1">
        <v>21</v>
      </c>
      <c r="C37" s="1">
        <v>30</v>
      </c>
      <c r="D37" s="1">
        <v>50</v>
      </c>
      <c r="E37" s="1">
        <v>0</v>
      </c>
      <c r="F37" s="2">
        <f t="shared" si="10"/>
        <v>9.5</v>
      </c>
      <c r="G37" s="50">
        <f t="shared" si="11"/>
        <v>461.5</v>
      </c>
      <c r="H37" s="50">
        <f t="shared" si="12"/>
        <v>121.92866578599735</v>
      </c>
      <c r="I37" s="50">
        <f t="shared" si="13"/>
        <v>100.035</v>
      </c>
      <c r="J37" s="50">
        <f t="shared" si="14"/>
        <v>26.429326287978864</v>
      </c>
      <c r="K37" s="2">
        <f t="shared" si="15"/>
        <v>38</v>
      </c>
      <c r="L37" s="50">
        <f t="shared" si="17"/>
        <v>63.17999999999999</v>
      </c>
      <c r="M37" s="50">
        <f t="shared" si="18"/>
        <v>16.692206076618227</v>
      </c>
      <c r="N37" s="1">
        <v>8</v>
      </c>
      <c r="O37" s="50">
        <f t="shared" si="19"/>
        <v>7.897499999999999</v>
      </c>
      <c r="P37" s="50">
        <f t="shared" si="20"/>
        <v>2.0865257595772784</v>
      </c>
    </row>
    <row r="38" spans="1:16" ht="13.5">
      <c r="A38" s="53">
        <v>40465</v>
      </c>
      <c r="B38" s="1">
        <v>9</v>
      </c>
      <c r="C38" s="1">
        <v>30</v>
      </c>
      <c r="D38" s="1">
        <v>44</v>
      </c>
      <c r="E38" s="1">
        <v>0</v>
      </c>
      <c r="F38" s="2">
        <f t="shared" si="10"/>
        <v>6</v>
      </c>
      <c r="G38" s="50">
        <f t="shared" si="11"/>
        <v>398.32</v>
      </c>
      <c r="H38" s="50">
        <f t="shared" si="12"/>
        <v>105.23645970937912</v>
      </c>
      <c r="I38" s="50">
        <f t="shared" si="13"/>
        <v>63.17999999999999</v>
      </c>
      <c r="J38" s="50">
        <f t="shared" si="14"/>
        <v>16.692206076618227</v>
      </c>
      <c r="K38" s="2">
        <f t="shared" si="15"/>
        <v>12</v>
      </c>
      <c r="L38" s="50">
        <f t="shared" si="17"/>
        <v>126.35999999999999</v>
      </c>
      <c r="M38" s="50">
        <f t="shared" si="18"/>
        <v>33.384412153236454</v>
      </c>
      <c r="N38" s="1">
        <v>8</v>
      </c>
      <c r="O38" s="50">
        <f t="shared" si="19"/>
        <v>15.794999999999998</v>
      </c>
      <c r="P38" s="50">
        <f t="shared" si="20"/>
        <v>4.173051519154557</v>
      </c>
    </row>
    <row r="39" spans="1:16" ht="13.5">
      <c r="A39" s="53">
        <v>40469</v>
      </c>
      <c r="B39" s="1">
        <v>13</v>
      </c>
      <c r="C39" s="1">
        <v>27</v>
      </c>
      <c r="D39" s="1">
        <v>63</v>
      </c>
      <c r="E39" s="1">
        <v>19</v>
      </c>
      <c r="F39" s="2">
        <f t="shared" si="10"/>
        <v>0</v>
      </c>
      <c r="G39" s="50">
        <f t="shared" si="11"/>
        <v>598.39</v>
      </c>
      <c r="H39" s="50">
        <f t="shared" si="12"/>
        <v>158.09511228533685</v>
      </c>
      <c r="I39" s="50">
        <f t="shared" si="13"/>
        <v>0</v>
      </c>
      <c r="J39" s="50">
        <f t="shared" si="14"/>
        <v>0</v>
      </c>
      <c r="K39" s="2">
        <f t="shared" si="15"/>
        <v>99.95</v>
      </c>
      <c r="L39" s="50">
        <f t="shared" si="17"/>
        <v>0</v>
      </c>
      <c r="M39" s="50">
        <f t="shared" si="18"/>
        <v>0</v>
      </c>
      <c r="N39" s="1">
        <v>8</v>
      </c>
      <c r="O39" s="50">
        <f t="shared" si="19"/>
        <v>0</v>
      </c>
      <c r="P39" s="50">
        <f t="shared" si="20"/>
        <v>0</v>
      </c>
    </row>
    <row r="40" spans="1:16" ht="13.5">
      <c r="A40" s="53">
        <v>40470</v>
      </c>
      <c r="B40" s="1">
        <v>8</v>
      </c>
      <c r="C40" s="1">
        <v>20</v>
      </c>
      <c r="D40" s="1">
        <v>58</v>
      </c>
      <c r="E40" s="1">
        <v>0</v>
      </c>
      <c r="F40" s="2">
        <f t="shared" si="10"/>
        <v>5</v>
      </c>
      <c r="G40" s="50">
        <f t="shared" si="11"/>
        <v>545.74</v>
      </c>
      <c r="H40" s="50">
        <f t="shared" si="12"/>
        <v>144.18494055482165</v>
      </c>
      <c r="I40" s="50">
        <f t="shared" si="13"/>
        <v>52.65</v>
      </c>
      <c r="J40" s="50">
        <f t="shared" si="14"/>
        <v>13.910171730515192</v>
      </c>
      <c r="K40" s="2">
        <f t="shared" si="15"/>
        <v>18.883333333333336</v>
      </c>
      <c r="L40" s="50">
        <f t="shared" si="17"/>
        <v>66.91615180935568</v>
      </c>
      <c r="M40" s="50">
        <f t="shared" si="18"/>
        <v>17.67930034593281</v>
      </c>
      <c r="N40" s="1">
        <v>8</v>
      </c>
      <c r="O40" s="50">
        <f t="shared" si="19"/>
        <v>8.36451897616946</v>
      </c>
      <c r="P40" s="50">
        <f t="shared" si="20"/>
        <v>2.209912543241601</v>
      </c>
    </row>
    <row r="41" spans="1:16" ht="13.5">
      <c r="A41" s="53">
        <v>40471</v>
      </c>
      <c r="B41" s="1">
        <v>8</v>
      </c>
      <c r="C41" s="1">
        <v>40</v>
      </c>
      <c r="D41" s="1">
        <v>48</v>
      </c>
      <c r="E41" s="1">
        <v>0</v>
      </c>
      <c r="F41" s="2">
        <f t="shared" si="10"/>
        <v>10</v>
      </c>
      <c r="G41" s="50">
        <f t="shared" si="11"/>
        <v>440.43999999999994</v>
      </c>
      <c r="H41" s="50">
        <f t="shared" si="12"/>
        <v>116.36459709379126</v>
      </c>
      <c r="I41" s="50">
        <f t="shared" si="13"/>
        <v>105.3</v>
      </c>
      <c r="J41" s="50">
        <f t="shared" si="14"/>
        <v>27.820343461030383</v>
      </c>
      <c r="K41" s="2">
        <f t="shared" si="15"/>
        <v>24.333333333333332</v>
      </c>
      <c r="L41" s="50">
        <f t="shared" si="17"/>
        <v>103.85753424657534</v>
      </c>
      <c r="M41" s="50">
        <f t="shared" si="18"/>
        <v>27.4392428656738</v>
      </c>
      <c r="N41" s="1">
        <v>8</v>
      </c>
      <c r="O41" s="50">
        <f t="shared" si="19"/>
        <v>12.982191780821918</v>
      </c>
      <c r="P41" s="50">
        <f t="shared" si="20"/>
        <v>3.429905358209225</v>
      </c>
    </row>
    <row r="42" spans="1:16" ht="13.5">
      <c r="A42" s="53">
        <v>40472</v>
      </c>
      <c r="B42" s="1">
        <v>8</v>
      </c>
      <c r="C42" s="1">
        <v>30</v>
      </c>
      <c r="D42" s="1">
        <v>39</v>
      </c>
      <c r="E42" s="1">
        <v>0</v>
      </c>
      <c r="F42" s="2">
        <f t="shared" si="10"/>
        <v>9</v>
      </c>
      <c r="G42" s="50">
        <f t="shared" si="11"/>
        <v>345.66999999999996</v>
      </c>
      <c r="H42" s="50">
        <f t="shared" si="12"/>
        <v>91.32628797886392</v>
      </c>
      <c r="I42" s="50">
        <f t="shared" si="13"/>
        <v>94.77</v>
      </c>
      <c r="J42" s="50">
        <f t="shared" si="14"/>
        <v>25.038309114927344</v>
      </c>
      <c r="K42" s="2">
        <f t="shared" si="15"/>
        <v>23.833333333333332</v>
      </c>
      <c r="L42" s="50">
        <f t="shared" si="17"/>
        <v>95.43272727272728</v>
      </c>
      <c r="M42" s="50">
        <f t="shared" si="18"/>
        <v>25.213402185661103</v>
      </c>
      <c r="N42" s="1">
        <v>9</v>
      </c>
      <c r="O42" s="50">
        <f t="shared" si="19"/>
        <v>10.603636363636364</v>
      </c>
      <c r="P42" s="50">
        <f t="shared" si="20"/>
        <v>2.8014891317401225</v>
      </c>
    </row>
    <row r="43" spans="1:16" ht="13.5">
      <c r="A43" s="53">
        <v>40473</v>
      </c>
      <c r="B43" s="1">
        <v>8</v>
      </c>
      <c r="C43" s="1">
        <v>45</v>
      </c>
      <c r="D43" s="1">
        <v>27</v>
      </c>
      <c r="E43" s="1">
        <v>0</v>
      </c>
      <c r="F43" s="2">
        <f t="shared" si="10"/>
        <v>12</v>
      </c>
      <c r="G43" s="50">
        <f t="shared" si="11"/>
        <v>219.31</v>
      </c>
      <c r="H43" s="50">
        <f t="shared" si="12"/>
        <v>57.94187582562748</v>
      </c>
      <c r="I43" s="50">
        <f t="shared" si="13"/>
        <v>126.35999999999999</v>
      </c>
      <c r="J43" s="50">
        <f t="shared" si="14"/>
        <v>33.384412153236454</v>
      </c>
      <c r="K43" s="2">
        <f t="shared" si="15"/>
        <v>24.25</v>
      </c>
      <c r="L43" s="50">
        <f t="shared" si="17"/>
        <v>125.05731958762885</v>
      </c>
      <c r="M43" s="50">
        <f t="shared" si="18"/>
        <v>33.04024295578041</v>
      </c>
      <c r="N43" s="1">
        <v>9</v>
      </c>
      <c r="O43" s="50">
        <f t="shared" si="19"/>
        <v>13.895257731958761</v>
      </c>
      <c r="P43" s="50">
        <f t="shared" si="20"/>
        <v>3.671138106197823</v>
      </c>
    </row>
    <row r="44" spans="1:16" ht="13.5">
      <c r="A44" s="53">
        <v>40474</v>
      </c>
      <c r="B44" s="1">
        <v>8</v>
      </c>
      <c r="C44" s="1">
        <v>10</v>
      </c>
      <c r="D44" s="1">
        <v>51</v>
      </c>
      <c r="E44" s="1">
        <v>45</v>
      </c>
      <c r="F44" s="2">
        <f t="shared" si="10"/>
        <v>21</v>
      </c>
      <c r="G44" s="50">
        <f t="shared" si="11"/>
        <v>472.03</v>
      </c>
      <c r="H44" s="50">
        <f t="shared" si="12"/>
        <v>124.71070013210038</v>
      </c>
      <c r="I44" s="50">
        <f t="shared" si="13"/>
        <v>221.13</v>
      </c>
      <c r="J44" s="50">
        <f t="shared" si="14"/>
        <v>58.4227212681638</v>
      </c>
      <c r="K44" s="2">
        <f t="shared" si="15"/>
        <v>23.416666666666664</v>
      </c>
      <c r="L44" s="50">
        <f>(I44/K44)*24</f>
        <v>226.63857651245553</v>
      </c>
      <c r="M44" s="50">
        <f>L44/$B$4</f>
        <v>59.87809154886539</v>
      </c>
      <c r="N44" s="1">
        <v>8.5</v>
      </c>
      <c r="O44" s="50">
        <f>L44/N44</f>
        <v>26.663361942641828</v>
      </c>
      <c r="P44" s="50">
        <f>O44/$B$4</f>
        <v>7.044481358690047</v>
      </c>
    </row>
    <row r="45" spans="1:16" ht="13.5">
      <c r="A45" s="53">
        <v>40475</v>
      </c>
      <c r="B45" s="1">
        <v>8</v>
      </c>
      <c r="C45" s="1">
        <v>52</v>
      </c>
      <c r="D45" s="1">
        <v>42</v>
      </c>
      <c r="E45" s="1">
        <v>0</v>
      </c>
      <c r="F45" s="2">
        <f t="shared" si="10"/>
        <v>9</v>
      </c>
      <c r="G45" s="50">
        <f t="shared" si="11"/>
        <v>377.26</v>
      </c>
      <c r="H45" s="50">
        <f t="shared" si="12"/>
        <v>99.67239101717304</v>
      </c>
      <c r="I45" s="50">
        <f t="shared" si="13"/>
        <v>94.77</v>
      </c>
      <c r="J45" s="50">
        <f t="shared" si="14"/>
        <v>25.038309114927344</v>
      </c>
      <c r="K45" s="2">
        <f t="shared" si="15"/>
        <v>24.7</v>
      </c>
      <c r="L45" s="50">
        <f>(I45/K45)*24</f>
        <v>92.08421052631579</v>
      </c>
      <c r="M45" s="50">
        <f>L45/$B$4</f>
        <v>24.32872140721685</v>
      </c>
      <c r="N45" s="1">
        <v>8</v>
      </c>
      <c r="O45" s="50">
        <f>L45/N45</f>
        <v>11.510526315789473</v>
      </c>
      <c r="P45" s="50">
        <f>O45/$B$4</f>
        <v>3.0410901759021063</v>
      </c>
    </row>
    <row r="46" spans="7:10" ht="13.5">
      <c r="G46" s="50"/>
      <c r="H46" s="50"/>
      <c r="I46" s="50"/>
      <c r="J46" s="50"/>
    </row>
    <row r="47" spans="7:10" ht="13.5">
      <c r="G47" s="50"/>
      <c r="H47" s="50"/>
      <c r="I47" s="50"/>
      <c r="J47" s="50"/>
    </row>
    <row r="48" spans="7:10" ht="13.5">
      <c r="G48" s="50"/>
      <c r="H48" s="50"/>
      <c r="I48" s="50"/>
      <c r="J48" s="50"/>
    </row>
    <row r="49" spans="7:10" ht="13.5">
      <c r="G49" s="50"/>
      <c r="H49" s="50"/>
      <c r="I49" s="50"/>
      <c r="J49" s="50"/>
    </row>
    <row r="50" spans="7:10" ht="13.5">
      <c r="G50" s="50"/>
      <c r="H50" s="50"/>
      <c r="I50" s="50"/>
      <c r="J50" s="50"/>
    </row>
    <row r="51" spans="7:10" ht="13.5">
      <c r="G51" s="50"/>
      <c r="H51" s="50"/>
      <c r="I51" s="50"/>
      <c r="J51" s="50"/>
    </row>
    <row r="52" spans="7:10" ht="13.5">
      <c r="G52" s="50"/>
      <c r="H52" s="50"/>
      <c r="I52" s="50"/>
      <c r="J52" s="50"/>
    </row>
    <row r="53" spans="7:10" ht="13.5">
      <c r="G53" s="50"/>
      <c r="H53" s="50"/>
      <c r="I53" s="50"/>
      <c r="J53" s="50"/>
    </row>
    <row r="54" spans="7:10" ht="13.5">
      <c r="G54" s="50"/>
      <c r="H54" s="50"/>
      <c r="I54" s="50"/>
      <c r="J54" s="50"/>
    </row>
    <row r="55" spans="7:10" ht="13.5">
      <c r="G55" s="50"/>
      <c r="H55" s="50"/>
      <c r="I55" s="50"/>
      <c r="J55" s="50"/>
    </row>
    <row r="56" spans="7:10" ht="13.5">
      <c r="G56" s="50"/>
      <c r="H56" s="50"/>
      <c r="I56" s="50"/>
      <c r="J56" s="50"/>
    </row>
    <row r="57" spans="7:10" ht="13.5">
      <c r="G57" s="50"/>
      <c r="H57" s="50"/>
      <c r="I57" s="50"/>
      <c r="J57" s="50"/>
    </row>
    <row r="58" spans="7:10" ht="13.5">
      <c r="G58" s="50"/>
      <c r="H58" s="50"/>
      <c r="I58" s="50"/>
      <c r="J58" s="50"/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zoomScale="90" zoomScaleNormal="90" zoomScaleSheetLayoutView="110" workbookViewId="0" topLeftCell="E1">
      <pane ySplit="8" topLeftCell="BM37" activePane="bottomLeft" state="frozen"/>
      <selection pane="topLeft" activeCell="E1" sqref="E1"/>
      <selection pane="bottomLeft" activeCell="P94" sqref="P94"/>
    </sheetView>
  </sheetViews>
  <sheetFormatPr defaultColWidth="11.8515625" defaultRowHeight="15"/>
  <cols>
    <col min="1" max="1" width="14.7109375" style="1" customWidth="1"/>
    <col min="2" max="3" width="5.8515625" style="1" customWidth="1"/>
    <col min="4" max="4" width="12.7109375" style="1" customWidth="1"/>
    <col min="5" max="5" width="21.8515625" style="0" customWidth="1"/>
    <col min="6" max="6" width="8.8515625" style="2" customWidth="1"/>
    <col min="7" max="7" width="9.00390625" style="0" customWidth="1"/>
    <col min="8" max="8" width="8.28125" style="0" customWidth="1"/>
    <col min="9" max="9" width="9.28125" style="0" customWidth="1"/>
    <col min="10" max="10" width="7.8515625" style="1" customWidth="1"/>
    <col min="11" max="11" width="7.8515625" style="57" customWidth="1"/>
    <col min="12" max="12" width="7.8515625" style="0" customWidth="1"/>
    <col min="13" max="13" width="9.7109375" style="1" customWidth="1"/>
    <col min="14" max="15" width="9.28125" style="0" customWidth="1"/>
    <col min="16" max="16" width="14.421875" style="0" customWidth="1"/>
  </cols>
  <sheetData>
    <row r="1" spans="1:15" ht="13.5">
      <c r="A1" s="58" t="s">
        <v>103</v>
      </c>
      <c r="B1" s="58"/>
      <c r="C1" s="58"/>
      <c r="D1" s="59"/>
      <c r="I1" s="60" t="s">
        <v>56</v>
      </c>
      <c r="J1" s="6"/>
      <c r="L1" s="6"/>
      <c r="M1" s="6"/>
      <c r="N1" s="6"/>
      <c r="O1" s="6"/>
    </row>
    <row r="2" spans="1:15" ht="13.5">
      <c r="A2"/>
      <c r="B2"/>
      <c r="C2"/>
      <c r="D2" s="61"/>
      <c r="I2" s="6" t="s">
        <v>57</v>
      </c>
      <c r="J2" s="6"/>
      <c r="L2" s="6"/>
      <c r="M2" s="6"/>
      <c r="N2" s="6"/>
      <c r="O2" s="6"/>
    </row>
    <row r="3" spans="1:15" ht="27.75">
      <c r="A3"/>
      <c r="B3"/>
      <c r="C3"/>
      <c r="D3" s="62" t="s">
        <v>58</v>
      </c>
      <c r="E3" s="63" t="s">
        <v>59</v>
      </c>
      <c r="F3" s="14"/>
      <c r="G3" s="63" t="s">
        <v>60</v>
      </c>
      <c r="H3" s="15"/>
      <c r="I3" s="6" t="s">
        <v>66</v>
      </c>
      <c r="J3" s="6"/>
      <c r="L3" s="6"/>
      <c r="M3" s="6"/>
      <c r="N3" s="6"/>
      <c r="O3" s="6"/>
    </row>
    <row r="4" spans="1:15" ht="13.5">
      <c r="A4"/>
      <c r="B4"/>
      <c r="C4"/>
      <c r="D4" s="64"/>
      <c r="E4" s="65">
        <v>3.78</v>
      </c>
      <c r="F4" s="66"/>
      <c r="G4" s="23">
        <f>Calibrations!G16</f>
        <v>3.9187499999999997</v>
      </c>
      <c r="H4" s="15"/>
      <c r="I4" s="6" t="s">
        <v>67</v>
      </c>
      <c r="J4" s="6"/>
      <c r="L4" s="6"/>
      <c r="M4" s="6"/>
      <c r="N4" s="6"/>
      <c r="O4" s="6"/>
    </row>
    <row r="5" spans="1:15" ht="13.5">
      <c r="A5"/>
      <c r="B5"/>
      <c r="C5"/>
      <c r="D5" s="67" t="s">
        <v>104</v>
      </c>
      <c r="E5" s="68">
        <v>0</v>
      </c>
      <c r="F5" s="68"/>
      <c r="G5" s="69" t="s">
        <v>105</v>
      </c>
      <c r="H5" s="15"/>
      <c r="I5" s="6" t="s">
        <v>68</v>
      </c>
      <c r="J5" s="6"/>
      <c r="L5" s="6"/>
      <c r="M5" s="6"/>
      <c r="N5" s="6"/>
      <c r="O5" s="6"/>
    </row>
    <row r="6" spans="1:13" ht="13.5">
      <c r="A6"/>
      <c r="B6"/>
      <c r="C6"/>
      <c r="D6" s="70"/>
      <c r="E6" s="2"/>
      <c r="G6" s="2"/>
      <c r="J6"/>
      <c r="M6"/>
    </row>
    <row r="7" spans="1:17" s="43" customFormat="1" ht="49.5" customHeight="1">
      <c r="A7" s="43" t="s">
        <v>72</v>
      </c>
      <c r="B7" s="43" t="s">
        <v>73</v>
      </c>
      <c r="C7" s="43" t="s">
        <v>73</v>
      </c>
      <c r="D7" s="37" t="s">
        <v>74</v>
      </c>
      <c r="E7" s="71" t="s">
        <v>106</v>
      </c>
      <c r="F7" s="72" t="s">
        <v>107</v>
      </c>
      <c r="G7" s="46" t="s">
        <v>77</v>
      </c>
      <c r="H7" s="46" t="s">
        <v>78</v>
      </c>
      <c r="I7" s="46" t="s">
        <v>79</v>
      </c>
      <c r="J7" s="46" t="s">
        <v>79</v>
      </c>
      <c r="K7" s="73" t="s">
        <v>80</v>
      </c>
      <c r="L7" s="46" t="s">
        <v>108</v>
      </c>
      <c r="M7" s="46" t="s">
        <v>108</v>
      </c>
      <c r="N7" s="74" t="s">
        <v>82</v>
      </c>
      <c r="O7" s="46" t="s">
        <v>84</v>
      </c>
      <c r="P7" s="46" t="s">
        <v>84</v>
      </c>
      <c r="Q7" s="43" t="s">
        <v>85</v>
      </c>
    </row>
    <row r="8" spans="1:16" s="43" customFormat="1" ht="27.75">
      <c r="A8" s="36"/>
      <c r="B8" s="44" t="s">
        <v>86</v>
      </c>
      <c r="C8" s="44" t="s">
        <v>87</v>
      </c>
      <c r="D8" s="37" t="s">
        <v>88</v>
      </c>
      <c r="E8" s="37" t="s">
        <v>88</v>
      </c>
      <c r="F8" s="45" t="s">
        <v>88</v>
      </c>
      <c r="G8" s="43" t="s">
        <v>89</v>
      </c>
      <c r="H8" s="43" t="s">
        <v>90</v>
      </c>
      <c r="I8" s="43" t="s">
        <v>89</v>
      </c>
      <c r="J8" s="43" t="s">
        <v>90</v>
      </c>
      <c r="K8" s="45" t="s">
        <v>91</v>
      </c>
      <c r="L8" s="43" t="s">
        <v>92</v>
      </c>
      <c r="M8" s="43" t="s">
        <v>93</v>
      </c>
      <c r="N8" s="37"/>
      <c r="O8" s="46" t="s">
        <v>94</v>
      </c>
      <c r="P8" s="46" t="s">
        <v>95</v>
      </c>
    </row>
    <row r="9" spans="1:16" ht="13.5">
      <c r="A9" s="47">
        <v>40433</v>
      </c>
      <c r="B9" s="48">
        <v>19</v>
      </c>
      <c r="C9" s="48">
        <v>0</v>
      </c>
      <c r="D9" s="51">
        <v>0</v>
      </c>
      <c r="E9" s="51"/>
      <c r="F9" s="2" t="e">
        <f aca="true" t="shared" si="0" ref="F9:F23">E9+D9-D8</f>
        <v>#VALUE!</v>
      </c>
      <c r="G9" s="50">
        <f>D9*$G$4+$E$5</f>
        <v>0</v>
      </c>
      <c r="H9" s="50">
        <f aca="true" t="shared" si="1" ref="H9:H23">G9/$E$4</f>
        <v>0</v>
      </c>
      <c r="I9" s="50" t="e">
        <f aca="true" t="shared" si="2" ref="I9:I23">(F9)*$G$4</f>
        <v>#VALUE!</v>
      </c>
      <c r="J9" s="50"/>
      <c r="K9" s="75"/>
      <c r="L9" s="50"/>
      <c r="M9" s="50"/>
      <c r="N9" s="51"/>
      <c r="O9" s="52"/>
      <c r="P9" s="52"/>
    </row>
    <row r="10" spans="1:16" ht="13.5">
      <c r="A10" s="47">
        <v>40434</v>
      </c>
      <c r="B10" s="48">
        <v>9</v>
      </c>
      <c r="C10" s="48">
        <v>0</v>
      </c>
      <c r="D10" s="51">
        <v>10</v>
      </c>
      <c r="E10" s="51"/>
      <c r="F10" s="2">
        <f t="shared" si="0"/>
        <v>10</v>
      </c>
      <c r="G10" s="50">
        <f>(D10+E10)*$G$4+$E$5</f>
        <v>39.1875</v>
      </c>
      <c r="H10" s="50">
        <f t="shared" si="1"/>
        <v>10.367063492063492</v>
      </c>
      <c r="I10" s="50">
        <f t="shared" si="2"/>
        <v>39.1875</v>
      </c>
      <c r="J10" s="50">
        <f aca="true" t="shared" si="3" ref="J10:J23">I10/$E$4</f>
        <v>10.367063492063492</v>
      </c>
      <c r="K10" s="57">
        <f aca="true" t="shared" si="4" ref="K10:K23">(A10-A9-1)*24+B10+C10/60+23-B9+(60-C9)/60</f>
        <v>14</v>
      </c>
      <c r="L10" s="50">
        <f aca="true" t="shared" si="5" ref="L10:L45">(I10/K10)*24</f>
        <v>67.17857142857143</v>
      </c>
      <c r="M10" s="50">
        <f aca="true" t="shared" si="6" ref="M10:M45">L10/$E$4</f>
        <v>17.772108843537417</v>
      </c>
      <c r="N10" s="51">
        <v>9</v>
      </c>
      <c r="O10" s="50">
        <f aca="true" t="shared" si="7" ref="O10:O45">L10/N10</f>
        <v>7.464285714285714</v>
      </c>
      <c r="P10" s="50">
        <f aca="true" t="shared" si="8" ref="P10:P16">O10/$E$4</f>
        <v>1.9746787603930462</v>
      </c>
    </row>
    <row r="11" spans="1:16" ht="13.5">
      <c r="A11" s="53">
        <v>40435</v>
      </c>
      <c r="B11" s="1">
        <v>8</v>
      </c>
      <c r="C11" s="1">
        <v>30</v>
      </c>
      <c r="D11" s="1">
        <v>32</v>
      </c>
      <c r="E11" s="1"/>
      <c r="F11" s="2">
        <f t="shared" si="0"/>
        <v>22</v>
      </c>
      <c r="G11" s="50">
        <f>(D11+E11)*$G$4+$E$5</f>
        <v>125.39999999999999</v>
      </c>
      <c r="H11" s="50">
        <f t="shared" si="1"/>
        <v>33.17460317460318</v>
      </c>
      <c r="I11" s="50">
        <f t="shared" si="2"/>
        <v>86.21249999999999</v>
      </c>
      <c r="J11" s="50">
        <f t="shared" si="3"/>
        <v>22.80753968253968</v>
      </c>
      <c r="K11" s="57">
        <f t="shared" si="4"/>
        <v>23.5</v>
      </c>
      <c r="L11" s="50">
        <f t="shared" si="5"/>
        <v>88.04680851063829</v>
      </c>
      <c r="M11" s="50">
        <f t="shared" si="6"/>
        <v>23.292806484295845</v>
      </c>
      <c r="N11" s="1">
        <v>9</v>
      </c>
      <c r="O11" s="50">
        <f t="shared" si="7"/>
        <v>9.782978723404254</v>
      </c>
      <c r="P11" s="50">
        <f t="shared" si="8"/>
        <v>2.5880896093662047</v>
      </c>
    </row>
    <row r="12" spans="1:17" ht="15.75">
      <c r="A12" s="53">
        <v>40436</v>
      </c>
      <c r="B12" s="1">
        <v>8</v>
      </c>
      <c r="C12" s="1">
        <v>30</v>
      </c>
      <c r="D12" s="1">
        <v>29</v>
      </c>
      <c r="E12" s="1">
        <v>21</v>
      </c>
      <c r="F12" s="2">
        <f t="shared" si="0"/>
        <v>18</v>
      </c>
      <c r="G12" s="50">
        <f>(D12+E12)*$G$4+$E$5</f>
        <v>195.9375</v>
      </c>
      <c r="H12" s="50">
        <f t="shared" si="1"/>
        <v>51.83531746031746</v>
      </c>
      <c r="I12" s="50">
        <f t="shared" si="2"/>
        <v>70.5375</v>
      </c>
      <c r="J12" s="50">
        <f t="shared" si="3"/>
        <v>18.660714285714285</v>
      </c>
      <c r="K12" s="57">
        <f t="shared" si="4"/>
        <v>24</v>
      </c>
      <c r="L12" s="50">
        <f t="shared" si="5"/>
        <v>70.5375</v>
      </c>
      <c r="M12" s="50">
        <f t="shared" si="6"/>
        <v>18.660714285714285</v>
      </c>
      <c r="N12" s="1">
        <v>9</v>
      </c>
      <c r="O12" s="50">
        <f t="shared" si="7"/>
        <v>7.8374999999999995</v>
      </c>
      <c r="P12" s="50">
        <f t="shared" si="8"/>
        <v>2.0734126984126986</v>
      </c>
      <c r="Q12" t="s">
        <v>109</v>
      </c>
    </row>
    <row r="13" spans="1:17" ht="13.5">
      <c r="A13" s="53">
        <v>40437</v>
      </c>
      <c r="B13" s="1">
        <v>8</v>
      </c>
      <c r="C13" s="1">
        <v>32</v>
      </c>
      <c r="D13" s="1">
        <v>17</v>
      </c>
      <c r="E13" s="1">
        <v>29</v>
      </c>
      <c r="F13" s="2">
        <f t="shared" si="0"/>
        <v>17</v>
      </c>
      <c r="G13" s="50">
        <f>(D13+E13)*$G$4+$E$5</f>
        <v>180.2625</v>
      </c>
      <c r="H13" s="50">
        <f t="shared" si="1"/>
        <v>47.68849206349206</v>
      </c>
      <c r="I13" s="50">
        <f t="shared" si="2"/>
        <v>66.61874999999999</v>
      </c>
      <c r="J13" s="50">
        <f t="shared" si="3"/>
        <v>17.624007936507937</v>
      </c>
      <c r="K13" s="57">
        <f t="shared" si="4"/>
        <v>24.03333333333333</v>
      </c>
      <c r="L13" s="50">
        <f t="shared" si="5"/>
        <v>66.52635228848821</v>
      </c>
      <c r="M13" s="50">
        <f t="shared" si="6"/>
        <v>17.599564097483654</v>
      </c>
      <c r="N13" s="1">
        <v>9</v>
      </c>
      <c r="O13" s="50">
        <f t="shared" si="7"/>
        <v>7.391816920943135</v>
      </c>
      <c r="P13" s="50">
        <f t="shared" si="8"/>
        <v>1.9555071219426283</v>
      </c>
      <c r="Q13" t="s">
        <v>110</v>
      </c>
    </row>
    <row r="14" spans="1:16" ht="13.5">
      <c r="A14" s="53">
        <v>40438</v>
      </c>
      <c r="B14" s="1">
        <v>8</v>
      </c>
      <c r="C14" s="1">
        <v>31</v>
      </c>
      <c r="D14" s="1">
        <v>33</v>
      </c>
      <c r="E14" s="1"/>
      <c r="F14" s="2">
        <f t="shared" si="0"/>
        <v>16</v>
      </c>
      <c r="G14" s="50">
        <f aca="true" t="shared" si="9" ref="G14:G23">(D14)*$G$4+$E$5</f>
        <v>129.31875</v>
      </c>
      <c r="H14" s="50">
        <f t="shared" si="1"/>
        <v>34.211309523809526</v>
      </c>
      <c r="I14" s="50">
        <f t="shared" si="2"/>
        <v>62.699999999999996</v>
      </c>
      <c r="J14" s="50">
        <f t="shared" si="3"/>
        <v>16.58730158730159</v>
      </c>
      <c r="K14" s="57">
        <f t="shared" si="4"/>
        <v>23.98333333333333</v>
      </c>
      <c r="L14" s="50">
        <f t="shared" si="5"/>
        <v>62.74357192494789</v>
      </c>
      <c r="M14" s="50">
        <f t="shared" si="6"/>
        <v>16.598828551573515</v>
      </c>
      <c r="N14" s="1">
        <v>9</v>
      </c>
      <c r="O14" s="50">
        <f t="shared" si="7"/>
        <v>6.971507991660876</v>
      </c>
      <c r="P14" s="50">
        <f t="shared" si="8"/>
        <v>1.8443142835081683</v>
      </c>
    </row>
    <row r="15" spans="1:17" ht="13.5">
      <c r="A15" s="53">
        <v>40439</v>
      </c>
      <c r="B15" s="1">
        <v>8</v>
      </c>
      <c r="C15" s="1">
        <v>25</v>
      </c>
      <c r="D15" s="1">
        <v>9</v>
      </c>
      <c r="E15" s="1">
        <v>34</v>
      </c>
      <c r="F15" s="2">
        <f t="shared" si="0"/>
        <v>10</v>
      </c>
      <c r="G15" s="50">
        <f t="shared" si="9"/>
        <v>35.26875</v>
      </c>
      <c r="H15" s="50">
        <f t="shared" si="1"/>
        <v>9.330357142857142</v>
      </c>
      <c r="I15" s="50">
        <f t="shared" si="2"/>
        <v>39.1875</v>
      </c>
      <c r="J15" s="50">
        <f t="shared" si="3"/>
        <v>10.367063492063492</v>
      </c>
      <c r="K15" s="57">
        <f t="shared" si="4"/>
        <v>23.9</v>
      </c>
      <c r="L15" s="50">
        <f t="shared" si="5"/>
        <v>39.35146443514645</v>
      </c>
      <c r="M15" s="50">
        <f t="shared" si="6"/>
        <v>10.41044032675832</v>
      </c>
      <c r="N15" s="1">
        <v>8</v>
      </c>
      <c r="O15" s="50">
        <f t="shared" si="7"/>
        <v>4.918933054393306</v>
      </c>
      <c r="P15" s="50">
        <f t="shared" si="8"/>
        <v>1.30130504084479</v>
      </c>
      <c r="Q15" t="s">
        <v>111</v>
      </c>
    </row>
    <row r="16" spans="1:16" ht="13.5">
      <c r="A16" s="53">
        <v>40440</v>
      </c>
      <c r="B16" s="1">
        <v>14</v>
      </c>
      <c r="C16" s="1">
        <v>0</v>
      </c>
      <c r="D16" s="1">
        <v>17</v>
      </c>
      <c r="E16" s="1">
        <v>0</v>
      </c>
      <c r="F16" s="2">
        <f t="shared" si="0"/>
        <v>8</v>
      </c>
      <c r="G16" s="50">
        <f t="shared" si="9"/>
        <v>66.61874999999999</v>
      </c>
      <c r="H16" s="50">
        <f t="shared" si="1"/>
        <v>17.624007936507937</v>
      </c>
      <c r="I16" s="50">
        <f t="shared" si="2"/>
        <v>31.349999999999998</v>
      </c>
      <c r="J16" s="50">
        <f t="shared" si="3"/>
        <v>8.293650793650794</v>
      </c>
      <c r="K16" s="57">
        <f t="shared" si="4"/>
        <v>29.583333333333332</v>
      </c>
      <c r="L16" s="50">
        <f t="shared" si="5"/>
        <v>25.43323943661972</v>
      </c>
      <c r="M16" s="50">
        <f t="shared" si="6"/>
        <v>6.728370221327968</v>
      </c>
      <c r="N16" s="1">
        <v>8</v>
      </c>
      <c r="O16" s="50">
        <f t="shared" si="7"/>
        <v>3.179154929577465</v>
      </c>
      <c r="P16" s="50">
        <f t="shared" si="8"/>
        <v>0.841046277665996</v>
      </c>
    </row>
    <row r="17" spans="1:17" ht="13.5">
      <c r="A17" s="53">
        <v>40441</v>
      </c>
      <c r="B17" s="1">
        <v>8</v>
      </c>
      <c r="C17" s="1">
        <v>30</v>
      </c>
      <c r="D17" s="1">
        <v>17</v>
      </c>
      <c r="E17" s="1">
        <v>0</v>
      </c>
      <c r="F17" s="2">
        <f t="shared" si="0"/>
        <v>0</v>
      </c>
      <c r="G17" s="50">
        <f t="shared" si="9"/>
        <v>66.61874999999999</v>
      </c>
      <c r="H17" s="50">
        <f t="shared" si="1"/>
        <v>17.624007936507937</v>
      </c>
      <c r="I17" s="50">
        <f t="shared" si="2"/>
        <v>0</v>
      </c>
      <c r="J17" s="50">
        <f t="shared" si="3"/>
        <v>0</v>
      </c>
      <c r="K17" s="57">
        <f t="shared" si="4"/>
        <v>18.5</v>
      </c>
      <c r="L17" s="50">
        <f t="shared" si="5"/>
        <v>0</v>
      </c>
      <c r="M17" s="50">
        <f t="shared" si="6"/>
        <v>0</v>
      </c>
      <c r="N17" s="1">
        <v>8</v>
      </c>
      <c r="O17" s="50">
        <f t="shared" si="7"/>
        <v>0</v>
      </c>
      <c r="P17" s="50"/>
      <c r="Q17" t="s">
        <v>112</v>
      </c>
    </row>
    <row r="18" spans="1:16" ht="13.5">
      <c r="A18" s="53">
        <v>40442</v>
      </c>
      <c r="B18" s="1">
        <v>8</v>
      </c>
      <c r="C18" s="1">
        <v>30</v>
      </c>
      <c r="D18" s="1">
        <v>24</v>
      </c>
      <c r="E18" s="1">
        <v>0</v>
      </c>
      <c r="F18" s="2">
        <f t="shared" si="0"/>
        <v>7</v>
      </c>
      <c r="G18" s="50">
        <f t="shared" si="9"/>
        <v>94.05</v>
      </c>
      <c r="H18" s="50">
        <f t="shared" si="1"/>
        <v>24.880952380952383</v>
      </c>
      <c r="I18" s="50">
        <f t="shared" si="2"/>
        <v>27.43125</v>
      </c>
      <c r="J18" s="50">
        <f t="shared" si="3"/>
        <v>7.256944444444445</v>
      </c>
      <c r="K18" s="57">
        <f t="shared" si="4"/>
        <v>24</v>
      </c>
      <c r="L18" s="50">
        <f t="shared" si="5"/>
        <v>27.43125</v>
      </c>
      <c r="M18" s="50">
        <f t="shared" si="6"/>
        <v>7.256944444444445</v>
      </c>
      <c r="N18" s="1">
        <v>9</v>
      </c>
      <c r="O18" s="50">
        <f t="shared" si="7"/>
        <v>3.0479166666666666</v>
      </c>
      <c r="P18" s="50">
        <f>O18/$E$4</f>
        <v>0.8063271604938271</v>
      </c>
    </row>
    <row r="19" spans="1:16" ht="13.5">
      <c r="A19" s="53">
        <v>40443</v>
      </c>
      <c r="B19" s="1">
        <v>8</v>
      </c>
      <c r="C19" s="1">
        <v>30</v>
      </c>
      <c r="D19" s="1">
        <v>15</v>
      </c>
      <c r="E19" s="1">
        <v>19</v>
      </c>
      <c r="F19" s="2">
        <f t="shared" si="0"/>
        <v>10</v>
      </c>
      <c r="G19" s="50">
        <f t="shared" si="9"/>
        <v>58.78124999999999</v>
      </c>
      <c r="H19" s="50">
        <f t="shared" si="1"/>
        <v>15.550595238095237</v>
      </c>
      <c r="I19" s="50">
        <f t="shared" si="2"/>
        <v>39.1875</v>
      </c>
      <c r="J19" s="50">
        <f t="shared" si="3"/>
        <v>10.367063492063492</v>
      </c>
      <c r="K19" s="57">
        <f t="shared" si="4"/>
        <v>24</v>
      </c>
      <c r="L19" s="50">
        <f t="shared" si="5"/>
        <v>39.1875</v>
      </c>
      <c r="M19" s="50">
        <f t="shared" si="6"/>
        <v>10.367063492063492</v>
      </c>
      <c r="N19" s="1">
        <v>9</v>
      </c>
      <c r="O19" s="50">
        <f t="shared" si="7"/>
        <v>4.354166666666667</v>
      </c>
      <c r="P19" s="50">
        <f>O19/$E$4</f>
        <v>1.1518959435626104</v>
      </c>
    </row>
    <row r="20" spans="1:17" ht="13.5">
      <c r="A20" s="53">
        <v>40444</v>
      </c>
      <c r="B20" s="1">
        <v>9</v>
      </c>
      <c r="C20" s="1">
        <v>0</v>
      </c>
      <c r="D20" s="1">
        <v>10</v>
      </c>
      <c r="E20" s="1">
        <v>19</v>
      </c>
      <c r="F20" s="2">
        <f t="shared" si="0"/>
        <v>14</v>
      </c>
      <c r="G20" s="50">
        <f t="shared" si="9"/>
        <v>39.1875</v>
      </c>
      <c r="H20" s="50">
        <f t="shared" si="1"/>
        <v>10.367063492063492</v>
      </c>
      <c r="I20" s="50">
        <f t="shared" si="2"/>
        <v>54.8625</v>
      </c>
      <c r="J20" s="50">
        <f t="shared" si="3"/>
        <v>14.51388888888889</v>
      </c>
      <c r="K20" s="57">
        <f t="shared" si="4"/>
        <v>24.5</v>
      </c>
      <c r="L20" s="50">
        <f t="shared" si="5"/>
        <v>53.74285714285715</v>
      </c>
      <c r="M20" s="50">
        <f t="shared" si="6"/>
        <v>14.217687074829934</v>
      </c>
      <c r="N20" s="1">
        <v>9</v>
      </c>
      <c r="O20" s="50">
        <f t="shared" si="7"/>
        <v>5.9714285714285715</v>
      </c>
      <c r="P20" s="50">
        <f>O20/$E$4</f>
        <v>1.579743008314437</v>
      </c>
      <c r="Q20" t="s">
        <v>113</v>
      </c>
    </row>
    <row r="21" spans="1:16" ht="13.5">
      <c r="A21" s="53">
        <v>40445</v>
      </c>
      <c r="B21" s="1">
        <v>8</v>
      </c>
      <c r="C21" s="1">
        <v>34</v>
      </c>
      <c r="D21" s="1">
        <v>18</v>
      </c>
      <c r="E21" s="1">
        <v>0</v>
      </c>
      <c r="F21" s="2">
        <f t="shared" si="0"/>
        <v>8</v>
      </c>
      <c r="G21" s="50">
        <f t="shared" si="9"/>
        <v>70.5375</v>
      </c>
      <c r="H21" s="50">
        <f t="shared" si="1"/>
        <v>18.660714285714285</v>
      </c>
      <c r="I21" s="50">
        <f t="shared" si="2"/>
        <v>31.349999999999998</v>
      </c>
      <c r="J21" s="50">
        <f t="shared" si="3"/>
        <v>8.293650793650794</v>
      </c>
      <c r="K21" s="57">
        <f t="shared" si="4"/>
        <v>23.566666666666666</v>
      </c>
      <c r="L21" s="50">
        <f t="shared" si="5"/>
        <v>31.926449787835924</v>
      </c>
      <c r="M21" s="50">
        <f t="shared" si="6"/>
        <v>8.446150737522732</v>
      </c>
      <c r="N21" s="1">
        <v>8</v>
      </c>
      <c r="O21" s="50">
        <f t="shared" si="7"/>
        <v>3.9908062234794905</v>
      </c>
      <c r="P21" s="50">
        <f>O21/$E$4</f>
        <v>1.0557688421903415</v>
      </c>
    </row>
    <row r="22" spans="1:17" ht="13.5">
      <c r="A22" s="53">
        <v>40446</v>
      </c>
      <c r="B22" s="1">
        <v>8</v>
      </c>
      <c r="C22" s="1">
        <v>47</v>
      </c>
      <c r="D22" s="1">
        <v>36</v>
      </c>
      <c r="E22" s="1">
        <v>0</v>
      </c>
      <c r="F22" s="2">
        <f t="shared" si="0"/>
        <v>18</v>
      </c>
      <c r="G22" s="50">
        <f t="shared" si="9"/>
        <v>141.075</v>
      </c>
      <c r="H22" s="50">
        <f t="shared" si="1"/>
        <v>37.32142857142857</v>
      </c>
      <c r="I22" s="50">
        <f t="shared" si="2"/>
        <v>70.5375</v>
      </c>
      <c r="J22" s="50">
        <f t="shared" si="3"/>
        <v>18.660714285714285</v>
      </c>
      <c r="K22" s="57">
        <f t="shared" si="4"/>
        <v>24.216666666666665</v>
      </c>
      <c r="L22" s="50">
        <f t="shared" si="5"/>
        <v>69.906400550585</v>
      </c>
      <c r="M22" s="50">
        <f t="shared" si="6"/>
        <v>18.493756759414023</v>
      </c>
      <c r="N22" s="1">
        <v>7</v>
      </c>
      <c r="O22" s="50">
        <f t="shared" si="7"/>
        <v>9.986628650083572</v>
      </c>
      <c r="P22" s="50">
        <f>O22/$E$4</f>
        <v>2.6419652513448604</v>
      </c>
      <c r="Q22" t="s">
        <v>114</v>
      </c>
    </row>
    <row r="23" spans="1:17" ht="13.5">
      <c r="A23" s="53">
        <v>40447</v>
      </c>
      <c r="B23" s="1">
        <v>10</v>
      </c>
      <c r="C23" s="1">
        <v>0</v>
      </c>
      <c r="D23" s="1">
        <v>20</v>
      </c>
      <c r="E23" s="1">
        <v>25</v>
      </c>
      <c r="F23" s="2">
        <f t="shared" si="0"/>
        <v>9</v>
      </c>
      <c r="G23" s="50">
        <f t="shared" si="9"/>
        <v>78.375</v>
      </c>
      <c r="H23" s="50">
        <f t="shared" si="1"/>
        <v>20.734126984126984</v>
      </c>
      <c r="I23" s="50">
        <f t="shared" si="2"/>
        <v>35.26875</v>
      </c>
      <c r="J23" s="50">
        <f t="shared" si="3"/>
        <v>9.330357142857142</v>
      </c>
      <c r="K23" s="57">
        <f t="shared" si="4"/>
        <v>25.216666666666665</v>
      </c>
      <c r="L23" s="50">
        <f t="shared" si="5"/>
        <v>33.56708526107072</v>
      </c>
      <c r="M23" s="50">
        <f t="shared" si="6"/>
        <v>8.880181285997546</v>
      </c>
      <c r="N23" s="1">
        <v>7</v>
      </c>
      <c r="O23" s="50">
        <f t="shared" si="7"/>
        <v>4.795297894438675</v>
      </c>
      <c r="P23" s="50"/>
      <c r="Q23" t="s">
        <v>101</v>
      </c>
    </row>
    <row r="24" spans="1:16" ht="13.5">
      <c r="A24" s="53">
        <v>40451</v>
      </c>
      <c r="B24" s="1">
        <v>14</v>
      </c>
      <c r="C24" s="1">
        <v>0</v>
      </c>
      <c r="D24" s="1">
        <v>3.5</v>
      </c>
      <c r="E24" s="1" t="s">
        <v>96</v>
      </c>
      <c r="F24" s="2" t="s">
        <v>96</v>
      </c>
      <c r="G24" s="2" t="s">
        <v>96</v>
      </c>
      <c r="H24" s="2" t="s">
        <v>96</v>
      </c>
      <c r="I24" s="2" t="s">
        <v>96</v>
      </c>
      <c r="J24" s="2" t="s">
        <v>96</v>
      </c>
      <c r="L24" s="50" t="e">
        <f t="shared" si="5"/>
        <v>#VALUE!</v>
      </c>
      <c r="M24" s="50" t="e">
        <f t="shared" si="6"/>
        <v>#VALUE!</v>
      </c>
      <c r="N24" s="1"/>
      <c r="O24" s="50" t="e">
        <f t="shared" si="7"/>
        <v>#VALUE!</v>
      </c>
      <c r="P24" s="50"/>
    </row>
    <row r="25" spans="1:17" ht="13.5">
      <c r="A25" s="53">
        <v>40452</v>
      </c>
      <c r="B25" s="1">
        <v>8</v>
      </c>
      <c r="C25" s="1">
        <v>20</v>
      </c>
      <c r="D25" s="1">
        <v>17</v>
      </c>
      <c r="E25" s="1">
        <v>0</v>
      </c>
      <c r="F25" s="2">
        <f aca="true" t="shared" si="10" ref="F25:F45">E25+D25-D24</f>
        <v>13.5</v>
      </c>
      <c r="G25" s="50">
        <f aca="true" t="shared" si="11" ref="G25:G45">(D25)*$G$4+$E$5</f>
        <v>66.61874999999999</v>
      </c>
      <c r="H25" s="50">
        <f aca="true" t="shared" si="12" ref="H25:H45">G25/$E$4</f>
        <v>17.624007936507937</v>
      </c>
      <c r="I25" s="50">
        <f aca="true" t="shared" si="13" ref="I25:I45">(F25)*$G$4</f>
        <v>52.903124999999996</v>
      </c>
      <c r="J25" s="50">
        <f aca="true" t="shared" si="14" ref="J25:J45">I25/$E$4</f>
        <v>13.995535714285714</v>
      </c>
      <c r="K25" s="57">
        <f aca="true" t="shared" si="15" ref="K25:K45">(A25-A24-1)*24+B25+C25/60+23-B24+(60-C24)/60</f>
        <v>18.333333333333336</v>
      </c>
      <c r="L25" s="50">
        <f t="shared" si="5"/>
        <v>69.25499999999998</v>
      </c>
      <c r="M25" s="50">
        <f t="shared" si="6"/>
        <v>18.321428571428566</v>
      </c>
      <c r="N25" s="1">
        <v>9</v>
      </c>
      <c r="O25" s="50">
        <f t="shared" si="7"/>
        <v>7.694999999999998</v>
      </c>
      <c r="P25" s="50">
        <f>O25/$E$4</f>
        <v>2.035714285714285</v>
      </c>
      <c r="Q25" t="s">
        <v>115</v>
      </c>
    </row>
    <row r="26" spans="1:16" ht="13.5">
      <c r="A26" s="53">
        <v>40453</v>
      </c>
      <c r="B26" s="1">
        <v>9</v>
      </c>
      <c r="C26" s="1">
        <v>0</v>
      </c>
      <c r="D26" s="1">
        <v>19</v>
      </c>
      <c r="E26" s="1">
        <v>0</v>
      </c>
      <c r="F26" s="2">
        <f t="shared" si="10"/>
        <v>2</v>
      </c>
      <c r="G26" s="50">
        <f t="shared" si="11"/>
        <v>74.45625</v>
      </c>
      <c r="H26" s="50">
        <f t="shared" si="12"/>
        <v>19.697420634920636</v>
      </c>
      <c r="I26" s="50">
        <f t="shared" si="13"/>
        <v>7.8374999999999995</v>
      </c>
      <c r="J26" s="50">
        <f t="shared" si="14"/>
        <v>2.0734126984126986</v>
      </c>
      <c r="K26" s="57">
        <f t="shared" si="15"/>
        <v>24.666666666666668</v>
      </c>
      <c r="L26" s="50">
        <f t="shared" si="5"/>
        <v>7.625675675675675</v>
      </c>
      <c r="M26" s="50">
        <f t="shared" si="6"/>
        <v>2.0173745173745172</v>
      </c>
      <c r="N26" s="1">
        <v>9</v>
      </c>
      <c r="O26" s="50">
        <f t="shared" si="7"/>
        <v>0.8472972972972972</v>
      </c>
      <c r="P26" s="50">
        <f>O26/$E$4</f>
        <v>0.22415272415272414</v>
      </c>
    </row>
    <row r="27" spans="1:17" ht="13.5">
      <c r="A27" s="53">
        <v>40454</v>
      </c>
      <c r="B27" s="1">
        <v>3</v>
      </c>
      <c r="C27" s="1">
        <v>30</v>
      </c>
      <c r="D27" s="1">
        <v>31</v>
      </c>
      <c r="E27" s="1">
        <v>0</v>
      </c>
      <c r="F27" s="2">
        <f t="shared" si="10"/>
        <v>12</v>
      </c>
      <c r="G27" s="50">
        <f t="shared" si="11"/>
        <v>121.48124999999999</v>
      </c>
      <c r="H27" s="50">
        <f t="shared" si="12"/>
        <v>32.13789682539682</v>
      </c>
      <c r="I27" s="50">
        <f t="shared" si="13"/>
        <v>47.025</v>
      </c>
      <c r="J27" s="50">
        <f t="shared" si="14"/>
        <v>12.440476190476192</v>
      </c>
      <c r="K27" s="57">
        <f t="shared" si="15"/>
        <v>18.5</v>
      </c>
      <c r="L27" s="50">
        <f t="shared" si="5"/>
        <v>61.00540540540541</v>
      </c>
      <c r="M27" s="50">
        <f t="shared" si="6"/>
        <v>16.13899613899614</v>
      </c>
      <c r="N27" s="1">
        <v>9</v>
      </c>
      <c r="O27" s="50">
        <f t="shared" si="7"/>
        <v>6.778378378378379</v>
      </c>
      <c r="P27" s="50">
        <f>O27/$E$4</f>
        <v>1.7932217932217935</v>
      </c>
      <c r="Q27" t="s">
        <v>114</v>
      </c>
    </row>
    <row r="28" spans="1:16" ht="13.5">
      <c r="A28" s="53">
        <v>40455</v>
      </c>
      <c r="B28" s="1">
        <v>8</v>
      </c>
      <c r="C28" s="1">
        <v>30</v>
      </c>
      <c r="D28" s="1">
        <v>3</v>
      </c>
      <c r="E28" s="1">
        <v>44</v>
      </c>
      <c r="F28" s="2">
        <f t="shared" si="10"/>
        <v>16</v>
      </c>
      <c r="G28" s="50">
        <f t="shared" si="11"/>
        <v>11.75625</v>
      </c>
      <c r="H28" s="50">
        <f t="shared" si="12"/>
        <v>3.110119047619048</v>
      </c>
      <c r="I28" s="50">
        <f t="shared" si="13"/>
        <v>62.699999999999996</v>
      </c>
      <c r="J28" s="50">
        <f t="shared" si="14"/>
        <v>16.58730158730159</v>
      </c>
      <c r="K28" s="57">
        <f t="shared" si="15"/>
        <v>29</v>
      </c>
      <c r="L28" s="50">
        <f t="shared" si="5"/>
        <v>51.889655172413796</v>
      </c>
      <c r="M28" s="50">
        <f t="shared" si="6"/>
        <v>13.727422003284074</v>
      </c>
      <c r="N28" s="1">
        <v>9</v>
      </c>
      <c r="O28" s="50">
        <f t="shared" si="7"/>
        <v>5.76551724137931</v>
      </c>
      <c r="P28" s="50">
        <f>O28/$E$4</f>
        <v>1.5252691114760082</v>
      </c>
    </row>
    <row r="29" spans="1:16" ht="13.5">
      <c r="A29" s="53">
        <v>40456</v>
      </c>
      <c r="B29" s="1">
        <v>8</v>
      </c>
      <c r="C29" s="1">
        <v>43</v>
      </c>
      <c r="D29" s="1">
        <v>18</v>
      </c>
      <c r="E29" s="1">
        <v>0</v>
      </c>
      <c r="F29" s="2">
        <f t="shared" si="10"/>
        <v>15</v>
      </c>
      <c r="G29" s="50">
        <f t="shared" si="11"/>
        <v>70.5375</v>
      </c>
      <c r="H29" s="50">
        <f t="shared" si="12"/>
        <v>18.660714285714285</v>
      </c>
      <c r="I29" s="50">
        <f t="shared" si="13"/>
        <v>58.78124999999999</v>
      </c>
      <c r="J29" s="50">
        <f t="shared" si="14"/>
        <v>15.550595238095237</v>
      </c>
      <c r="K29" s="57">
        <f t="shared" si="15"/>
        <v>24.21666666666667</v>
      </c>
      <c r="L29" s="50">
        <f t="shared" si="5"/>
        <v>58.25533379215415</v>
      </c>
      <c r="M29" s="50">
        <f t="shared" si="6"/>
        <v>15.411463966178346</v>
      </c>
      <c r="N29" s="1">
        <v>9</v>
      </c>
      <c r="O29" s="50">
        <f t="shared" si="7"/>
        <v>6.472814865794906</v>
      </c>
      <c r="P29" s="50"/>
    </row>
    <row r="30" spans="1:17" ht="13.5">
      <c r="A30" s="53">
        <v>40457</v>
      </c>
      <c r="B30" s="1">
        <v>8</v>
      </c>
      <c r="C30" s="1">
        <v>30</v>
      </c>
      <c r="D30" s="1">
        <v>31</v>
      </c>
      <c r="E30" s="1">
        <v>0</v>
      </c>
      <c r="F30" s="2">
        <f t="shared" si="10"/>
        <v>13</v>
      </c>
      <c r="G30" s="50">
        <f t="shared" si="11"/>
        <v>121.48124999999999</v>
      </c>
      <c r="H30" s="50">
        <f t="shared" si="12"/>
        <v>32.13789682539682</v>
      </c>
      <c r="I30" s="50">
        <f t="shared" si="13"/>
        <v>50.943749999999994</v>
      </c>
      <c r="J30" s="50">
        <f t="shared" si="14"/>
        <v>13.47718253968254</v>
      </c>
      <c r="K30" s="57">
        <f t="shared" si="15"/>
        <v>23.783333333333335</v>
      </c>
      <c r="L30" s="50">
        <f t="shared" si="5"/>
        <v>51.40784863349684</v>
      </c>
      <c r="M30" s="50">
        <f t="shared" si="6"/>
        <v>13.599959955951546</v>
      </c>
      <c r="N30" s="1">
        <v>8</v>
      </c>
      <c r="O30" s="50">
        <f t="shared" si="7"/>
        <v>6.425981079187105</v>
      </c>
      <c r="P30" s="50">
        <f aca="true" t="shared" si="16" ref="P30:P39">O30/$E$4</f>
        <v>1.6999949944939432</v>
      </c>
      <c r="Q30" t="s">
        <v>116</v>
      </c>
    </row>
    <row r="31" spans="1:16" ht="13.5">
      <c r="A31" s="53">
        <v>40458</v>
      </c>
      <c r="B31" s="1">
        <v>8</v>
      </c>
      <c r="C31" s="1">
        <v>30</v>
      </c>
      <c r="D31" s="1">
        <v>17</v>
      </c>
      <c r="E31" s="1">
        <v>17</v>
      </c>
      <c r="F31" s="2">
        <f t="shared" si="10"/>
        <v>3</v>
      </c>
      <c r="G31" s="50">
        <f t="shared" si="11"/>
        <v>66.61874999999999</v>
      </c>
      <c r="H31" s="50">
        <f t="shared" si="12"/>
        <v>17.624007936507937</v>
      </c>
      <c r="I31" s="50">
        <f t="shared" si="13"/>
        <v>11.75625</v>
      </c>
      <c r="J31" s="50">
        <f t="shared" si="14"/>
        <v>3.110119047619048</v>
      </c>
      <c r="K31" s="57">
        <f t="shared" si="15"/>
        <v>24</v>
      </c>
      <c r="L31" s="50">
        <f t="shared" si="5"/>
        <v>11.75625</v>
      </c>
      <c r="M31" s="50">
        <f t="shared" si="6"/>
        <v>3.110119047619048</v>
      </c>
      <c r="N31" s="1">
        <v>9</v>
      </c>
      <c r="O31" s="50">
        <f t="shared" si="7"/>
        <v>1.30625</v>
      </c>
      <c r="P31" s="50">
        <f t="shared" si="16"/>
        <v>0.3455687830687831</v>
      </c>
    </row>
    <row r="32" spans="1:16" ht="13.5">
      <c r="A32" s="53">
        <v>40459</v>
      </c>
      <c r="B32" s="1">
        <v>14</v>
      </c>
      <c r="C32" s="1">
        <v>35</v>
      </c>
      <c r="D32" s="1">
        <v>18</v>
      </c>
      <c r="E32" s="1">
        <v>0</v>
      </c>
      <c r="F32" s="2">
        <f t="shared" si="10"/>
        <v>1</v>
      </c>
      <c r="G32" s="50">
        <f t="shared" si="11"/>
        <v>70.5375</v>
      </c>
      <c r="H32" s="50">
        <f t="shared" si="12"/>
        <v>18.660714285714285</v>
      </c>
      <c r="I32" s="50">
        <f t="shared" si="13"/>
        <v>3.9187499999999997</v>
      </c>
      <c r="J32" s="50">
        <f t="shared" si="14"/>
        <v>1.0367063492063493</v>
      </c>
      <c r="K32" s="57">
        <f t="shared" si="15"/>
        <v>30.083333333333336</v>
      </c>
      <c r="L32" s="50">
        <f t="shared" si="5"/>
        <v>3.1263157894736837</v>
      </c>
      <c r="M32" s="50">
        <f t="shared" si="6"/>
        <v>0.8270676691729323</v>
      </c>
      <c r="N32" s="1">
        <v>8</v>
      </c>
      <c r="O32" s="50">
        <f t="shared" si="7"/>
        <v>0.39078947368421046</v>
      </c>
      <c r="P32" s="50">
        <f t="shared" si="16"/>
        <v>0.10338345864661654</v>
      </c>
    </row>
    <row r="33" spans="1:16" ht="13.5">
      <c r="A33" s="53">
        <v>40460</v>
      </c>
      <c r="B33" s="1">
        <v>8</v>
      </c>
      <c r="C33" s="1">
        <v>40</v>
      </c>
      <c r="D33" s="1">
        <v>19</v>
      </c>
      <c r="E33" s="1">
        <v>0</v>
      </c>
      <c r="F33" s="2">
        <f t="shared" si="10"/>
        <v>1</v>
      </c>
      <c r="G33" s="50">
        <f t="shared" si="11"/>
        <v>74.45625</v>
      </c>
      <c r="H33" s="50">
        <f t="shared" si="12"/>
        <v>19.697420634920636</v>
      </c>
      <c r="I33" s="50">
        <f t="shared" si="13"/>
        <v>3.9187499999999997</v>
      </c>
      <c r="J33" s="50">
        <f t="shared" si="14"/>
        <v>1.0367063492063493</v>
      </c>
      <c r="K33" s="57">
        <f t="shared" si="15"/>
        <v>18.083333333333332</v>
      </c>
      <c r="L33" s="50">
        <f t="shared" si="5"/>
        <v>5.200921658986175</v>
      </c>
      <c r="M33" s="50">
        <f t="shared" si="6"/>
        <v>1.3759052007899935</v>
      </c>
      <c r="N33" s="1">
        <v>8</v>
      </c>
      <c r="O33" s="50">
        <f t="shared" si="7"/>
        <v>0.6501152073732719</v>
      </c>
      <c r="P33" s="50">
        <f t="shared" si="16"/>
        <v>0.17198815009874918</v>
      </c>
    </row>
    <row r="34" spans="1:17" ht="13.5">
      <c r="A34" s="53">
        <v>40461</v>
      </c>
      <c r="B34" s="1">
        <v>8</v>
      </c>
      <c r="C34" s="1">
        <v>15</v>
      </c>
      <c r="D34" s="1">
        <v>15</v>
      </c>
      <c r="E34" s="1">
        <v>18</v>
      </c>
      <c r="F34" s="2">
        <f t="shared" si="10"/>
        <v>14</v>
      </c>
      <c r="G34" s="50">
        <f t="shared" si="11"/>
        <v>58.78124999999999</v>
      </c>
      <c r="H34" s="50">
        <f t="shared" si="12"/>
        <v>15.550595238095237</v>
      </c>
      <c r="I34" s="50">
        <f t="shared" si="13"/>
        <v>54.8625</v>
      </c>
      <c r="J34" s="50">
        <f t="shared" si="14"/>
        <v>14.51388888888889</v>
      </c>
      <c r="K34" s="57">
        <f t="shared" si="15"/>
        <v>23.583333333333332</v>
      </c>
      <c r="L34" s="50">
        <f t="shared" si="5"/>
        <v>55.83180212014135</v>
      </c>
      <c r="M34" s="50">
        <f t="shared" si="6"/>
        <v>14.770318021201415</v>
      </c>
      <c r="N34" s="1">
        <v>8</v>
      </c>
      <c r="O34" s="50">
        <f t="shared" si="7"/>
        <v>6.978975265017668</v>
      </c>
      <c r="P34" s="50">
        <f t="shared" si="16"/>
        <v>1.846289752650177</v>
      </c>
      <c r="Q34" t="s">
        <v>117</v>
      </c>
    </row>
    <row r="35" spans="1:16" ht="13.5">
      <c r="A35" s="53">
        <v>40462</v>
      </c>
      <c r="B35" s="1">
        <v>16</v>
      </c>
      <c r="C35" s="1">
        <v>0</v>
      </c>
      <c r="D35" s="1">
        <v>26</v>
      </c>
      <c r="E35" s="1">
        <v>0</v>
      </c>
      <c r="F35" s="2">
        <f t="shared" si="10"/>
        <v>11</v>
      </c>
      <c r="G35" s="50">
        <f t="shared" si="11"/>
        <v>101.88749999999999</v>
      </c>
      <c r="H35" s="50">
        <f t="shared" si="12"/>
        <v>26.95436507936508</v>
      </c>
      <c r="I35" s="50">
        <f t="shared" si="13"/>
        <v>43.106249999999996</v>
      </c>
      <c r="J35" s="50">
        <f t="shared" si="14"/>
        <v>11.40376984126984</v>
      </c>
      <c r="K35" s="57">
        <f t="shared" si="15"/>
        <v>31.75</v>
      </c>
      <c r="L35" s="50">
        <f t="shared" si="5"/>
        <v>32.584251968503935</v>
      </c>
      <c r="M35" s="50">
        <f t="shared" si="6"/>
        <v>8.620172478440194</v>
      </c>
      <c r="N35" s="1">
        <v>8</v>
      </c>
      <c r="O35" s="50">
        <f t="shared" si="7"/>
        <v>4.073031496062992</v>
      </c>
      <c r="P35" s="50">
        <f t="shared" si="16"/>
        <v>1.0775215598050243</v>
      </c>
    </row>
    <row r="36" spans="1:16" ht="13.5">
      <c r="A36" s="53">
        <v>40463</v>
      </c>
      <c r="B36" s="1">
        <v>7</v>
      </c>
      <c r="C36" s="1">
        <v>30</v>
      </c>
      <c r="D36" s="1">
        <v>16</v>
      </c>
      <c r="E36" s="1">
        <v>26</v>
      </c>
      <c r="F36" s="2">
        <f t="shared" si="10"/>
        <v>16</v>
      </c>
      <c r="G36" s="50">
        <f t="shared" si="11"/>
        <v>62.699999999999996</v>
      </c>
      <c r="H36" s="50">
        <f t="shared" si="12"/>
        <v>16.58730158730159</v>
      </c>
      <c r="I36" s="50">
        <f t="shared" si="13"/>
        <v>62.699999999999996</v>
      </c>
      <c r="J36" s="50">
        <f t="shared" si="14"/>
        <v>16.58730158730159</v>
      </c>
      <c r="K36" s="57">
        <f t="shared" si="15"/>
        <v>15.5</v>
      </c>
      <c r="L36" s="50">
        <f t="shared" si="5"/>
        <v>97.08387096774193</v>
      </c>
      <c r="M36" s="50">
        <f t="shared" si="6"/>
        <v>25.683563748079877</v>
      </c>
      <c r="N36" s="1">
        <v>8</v>
      </c>
      <c r="O36" s="50">
        <f t="shared" si="7"/>
        <v>12.135483870967741</v>
      </c>
      <c r="P36" s="50">
        <f t="shared" si="16"/>
        <v>3.2104454685099846</v>
      </c>
    </row>
    <row r="37" spans="1:16" ht="13.5">
      <c r="A37" s="53">
        <v>40464</v>
      </c>
      <c r="B37" s="1">
        <v>21</v>
      </c>
      <c r="C37" s="1">
        <v>30</v>
      </c>
      <c r="D37" s="1">
        <v>15</v>
      </c>
      <c r="E37" s="1">
        <v>17</v>
      </c>
      <c r="F37" s="2">
        <f t="shared" si="10"/>
        <v>16</v>
      </c>
      <c r="G37" s="50">
        <f t="shared" si="11"/>
        <v>58.78124999999999</v>
      </c>
      <c r="H37" s="50">
        <f t="shared" si="12"/>
        <v>15.550595238095237</v>
      </c>
      <c r="I37" s="50">
        <f t="shared" si="13"/>
        <v>62.699999999999996</v>
      </c>
      <c r="J37" s="50">
        <f t="shared" si="14"/>
        <v>16.58730158730159</v>
      </c>
      <c r="K37" s="57">
        <f t="shared" si="15"/>
        <v>38</v>
      </c>
      <c r="L37" s="50">
        <f t="shared" si="5"/>
        <v>39.599999999999994</v>
      </c>
      <c r="M37" s="50">
        <f t="shared" si="6"/>
        <v>10.476190476190474</v>
      </c>
      <c r="N37" s="1">
        <v>8</v>
      </c>
      <c r="O37" s="50">
        <f t="shared" si="7"/>
        <v>4.949999999999999</v>
      </c>
      <c r="P37" s="50">
        <f t="shared" si="16"/>
        <v>1.3095238095238093</v>
      </c>
    </row>
    <row r="38" spans="1:16" ht="13.5">
      <c r="A38" s="53">
        <v>40465</v>
      </c>
      <c r="B38" s="76">
        <v>9</v>
      </c>
      <c r="C38" s="1">
        <v>30</v>
      </c>
      <c r="D38" s="1">
        <v>15</v>
      </c>
      <c r="E38" s="1">
        <v>0</v>
      </c>
      <c r="F38" s="2">
        <f t="shared" si="10"/>
        <v>0</v>
      </c>
      <c r="G38" s="50">
        <f t="shared" si="11"/>
        <v>58.78124999999999</v>
      </c>
      <c r="H38" s="50">
        <f t="shared" si="12"/>
        <v>15.550595238095237</v>
      </c>
      <c r="I38" s="50">
        <f t="shared" si="13"/>
        <v>0</v>
      </c>
      <c r="J38" s="50">
        <f t="shared" si="14"/>
        <v>0</v>
      </c>
      <c r="K38" s="57">
        <f t="shared" si="15"/>
        <v>12</v>
      </c>
      <c r="L38" s="50">
        <f t="shared" si="5"/>
        <v>0</v>
      </c>
      <c r="M38" s="50">
        <f t="shared" si="6"/>
        <v>0</v>
      </c>
      <c r="N38" s="1">
        <v>8</v>
      </c>
      <c r="O38" s="50">
        <f t="shared" si="7"/>
        <v>0</v>
      </c>
      <c r="P38" s="50">
        <f t="shared" si="16"/>
        <v>0</v>
      </c>
    </row>
    <row r="39" spans="1:16" ht="13.5">
      <c r="A39" s="53">
        <v>40469</v>
      </c>
      <c r="B39" s="1">
        <v>13</v>
      </c>
      <c r="C39" s="1">
        <v>27</v>
      </c>
      <c r="D39" s="1">
        <v>5</v>
      </c>
      <c r="E39" s="1">
        <v>10</v>
      </c>
      <c r="F39" s="2">
        <f t="shared" si="10"/>
        <v>0</v>
      </c>
      <c r="G39" s="50">
        <f>(D39)*$G$4+$E$5</f>
        <v>19.59375</v>
      </c>
      <c r="H39" s="50">
        <f t="shared" si="12"/>
        <v>5.183531746031746</v>
      </c>
      <c r="I39" s="50">
        <f t="shared" si="13"/>
        <v>0</v>
      </c>
      <c r="J39" s="50">
        <f t="shared" si="14"/>
        <v>0</v>
      </c>
      <c r="K39" s="57">
        <f t="shared" si="15"/>
        <v>99.95</v>
      </c>
      <c r="L39" s="50">
        <f t="shared" si="5"/>
        <v>0</v>
      </c>
      <c r="M39" s="50">
        <f t="shared" si="6"/>
        <v>0</v>
      </c>
      <c r="N39" s="1">
        <v>8</v>
      </c>
      <c r="O39" s="50">
        <f t="shared" si="7"/>
        <v>0</v>
      </c>
      <c r="P39" s="50">
        <f t="shared" si="16"/>
        <v>0</v>
      </c>
    </row>
    <row r="40" spans="1:16" ht="13.5">
      <c r="A40" s="53">
        <v>40470</v>
      </c>
      <c r="B40" s="1">
        <v>8</v>
      </c>
      <c r="C40" s="1">
        <v>20</v>
      </c>
      <c r="D40" s="1">
        <v>17</v>
      </c>
      <c r="E40" s="1">
        <v>0</v>
      </c>
      <c r="F40" s="2">
        <f t="shared" si="10"/>
        <v>12</v>
      </c>
      <c r="G40" s="50">
        <f>(D40)*$G$4+$E$5</f>
        <v>66.61874999999999</v>
      </c>
      <c r="H40" s="50">
        <f t="shared" si="12"/>
        <v>17.624007936507937</v>
      </c>
      <c r="I40" s="50">
        <f t="shared" si="13"/>
        <v>47.025</v>
      </c>
      <c r="J40" s="50">
        <f t="shared" si="14"/>
        <v>12.440476190476192</v>
      </c>
      <c r="K40" s="57">
        <f t="shared" si="15"/>
        <v>18.883333333333336</v>
      </c>
      <c r="L40" s="50">
        <f t="shared" si="5"/>
        <v>59.766990291262125</v>
      </c>
      <c r="M40" s="50">
        <f t="shared" si="6"/>
        <v>15.81137309292649</v>
      </c>
      <c r="N40" s="1">
        <v>8</v>
      </c>
      <c r="O40" s="50">
        <f t="shared" si="7"/>
        <v>7.470873786407766</v>
      </c>
      <c r="P40" s="50">
        <f aca="true" t="shared" si="17" ref="P40:P45">O40/$E$4</f>
        <v>1.9764216366158112</v>
      </c>
    </row>
    <row r="41" spans="1:16" ht="13.5">
      <c r="A41" s="53">
        <v>40471</v>
      </c>
      <c r="B41" s="1">
        <v>8</v>
      </c>
      <c r="C41" s="1">
        <v>40</v>
      </c>
      <c r="D41" s="1">
        <v>19</v>
      </c>
      <c r="E41" s="1">
        <v>0</v>
      </c>
      <c r="F41" s="2">
        <f t="shared" si="10"/>
        <v>2</v>
      </c>
      <c r="G41" s="50">
        <f t="shared" si="11"/>
        <v>74.45625</v>
      </c>
      <c r="H41" s="50">
        <f t="shared" si="12"/>
        <v>19.697420634920636</v>
      </c>
      <c r="I41" s="50">
        <f t="shared" si="13"/>
        <v>7.8374999999999995</v>
      </c>
      <c r="J41" s="50">
        <f t="shared" si="14"/>
        <v>2.0734126984126986</v>
      </c>
      <c r="K41" s="57">
        <f t="shared" si="15"/>
        <v>24.333333333333332</v>
      </c>
      <c r="L41" s="50">
        <f t="shared" si="5"/>
        <v>7.73013698630137</v>
      </c>
      <c r="M41" s="50">
        <f t="shared" si="6"/>
        <v>2.045009784735812</v>
      </c>
      <c r="N41" s="1">
        <v>8</v>
      </c>
      <c r="O41" s="50">
        <f t="shared" si="7"/>
        <v>0.9662671232876713</v>
      </c>
      <c r="P41" s="50">
        <f t="shared" si="17"/>
        <v>0.2556262230919765</v>
      </c>
    </row>
    <row r="42" spans="1:16" ht="13.5">
      <c r="A42" s="53">
        <v>40472</v>
      </c>
      <c r="B42" s="1">
        <v>8</v>
      </c>
      <c r="C42" s="1">
        <v>30</v>
      </c>
      <c r="D42" s="1">
        <v>15</v>
      </c>
      <c r="E42" s="1">
        <v>25</v>
      </c>
      <c r="F42" s="2">
        <f t="shared" si="10"/>
        <v>21</v>
      </c>
      <c r="G42" s="50">
        <f t="shared" si="11"/>
        <v>58.78124999999999</v>
      </c>
      <c r="H42" s="50">
        <f t="shared" si="12"/>
        <v>15.550595238095237</v>
      </c>
      <c r="I42" s="50">
        <f t="shared" si="13"/>
        <v>82.29374999999999</v>
      </c>
      <c r="J42" s="50">
        <f t="shared" si="14"/>
        <v>21.770833333333332</v>
      </c>
      <c r="K42" s="57">
        <f t="shared" si="15"/>
        <v>23.833333333333332</v>
      </c>
      <c r="L42" s="50">
        <f t="shared" si="5"/>
        <v>82.86923076923075</v>
      </c>
      <c r="M42" s="50">
        <f t="shared" si="6"/>
        <v>21.92307692307692</v>
      </c>
      <c r="N42" s="1">
        <v>9</v>
      </c>
      <c r="O42" s="50">
        <f t="shared" si="7"/>
        <v>9.207692307692305</v>
      </c>
      <c r="P42" s="50">
        <f t="shared" si="17"/>
        <v>2.4358974358974352</v>
      </c>
    </row>
    <row r="43" spans="1:17" ht="13.5">
      <c r="A43" s="53">
        <v>40473</v>
      </c>
      <c r="B43" s="1">
        <v>8</v>
      </c>
      <c r="C43" s="1">
        <v>45</v>
      </c>
      <c r="D43" s="1">
        <v>34</v>
      </c>
      <c r="E43" s="1">
        <v>0</v>
      </c>
      <c r="F43" s="2">
        <f t="shared" si="10"/>
        <v>19</v>
      </c>
      <c r="G43" s="50">
        <f t="shared" si="11"/>
        <v>133.23749999999998</v>
      </c>
      <c r="H43" s="50">
        <f t="shared" si="12"/>
        <v>35.24801587301587</v>
      </c>
      <c r="I43" s="50">
        <f t="shared" si="13"/>
        <v>74.45625</v>
      </c>
      <c r="J43" s="50">
        <f t="shared" si="14"/>
        <v>19.697420634920636</v>
      </c>
      <c r="K43" s="57">
        <f t="shared" si="15"/>
        <v>24.25</v>
      </c>
      <c r="L43" s="50">
        <f t="shared" si="5"/>
        <v>73.68865979381442</v>
      </c>
      <c r="M43" s="50">
        <f t="shared" si="6"/>
        <v>19.49435444280805</v>
      </c>
      <c r="N43" s="1">
        <v>9</v>
      </c>
      <c r="O43" s="50">
        <f t="shared" si="7"/>
        <v>8.18762886597938</v>
      </c>
      <c r="P43" s="50">
        <f t="shared" si="17"/>
        <v>2.166039382534228</v>
      </c>
      <c r="Q43" t="s">
        <v>118</v>
      </c>
    </row>
    <row r="44" spans="1:16" ht="13.5">
      <c r="A44" s="53">
        <v>40474</v>
      </c>
      <c r="B44" s="1">
        <v>8</v>
      </c>
      <c r="C44" s="1">
        <v>10</v>
      </c>
      <c r="D44" s="1">
        <v>10</v>
      </c>
      <c r="E44" s="1">
        <v>34</v>
      </c>
      <c r="F44" s="2">
        <f t="shared" si="10"/>
        <v>10</v>
      </c>
      <c r="G44" s="50">
        <f t="shared" si="11"/>
        <v>39.1875</v>
      </c>
      <c r="H44" s="50">
        <f t="shared" si="12"/>
        <v>10.367063492063492</v>
      </c>
      <c r="I44" s="50">
        <f t="shared" si="13"/>
        <v>39.1875</v>
      </c>
      <c r="J44" s="50">
        <f t="shared" si="14"/>
        <v>10.367063492063492</v>
      </c>
      <c r="K44" s="57">
        <f t="shared" si="15"/>
        <v>23.416666666666664</v>
      </c>
      <c r="L44" s="50">
        <f t="shared" si="5"/>
        <v>40.16370106761566</v>
      </c>
      <c r="M44" s="50">
        <f t="shared" si="6"/>
        <v>10.625317742755467</v>
      </c>
      <c r="N44" s="1">
        <v>8.5</v>
      </c>
      <c r="O44" s="50">
        <f t="shared" si="7"/>
        <v>4.725141302072431</v>
      </c>
      <c r="P44" s="50">
        <f t="shared" si="17"/>
        <v>1.2500373815006431</v>
      </c>
    </row>
    <row r="45" spans="1:16" ht="13.5">
      <c r="A45" s="53">
        <v>40475</v>
      </c>
      <c r="B45" s="1">
        <v>8</v>
      </c>
      <c r="C45" s="1">
        <v>52</v>
      </c>
      <c r="D45" s="1">
        <v>37</v>
      </c>
      <c r="E45" s="1">
        <v>0</v>
      </c>
      <c r="F45" s="2">
        <f t="shared" si="10"/>
        <v>27</v>
      </c>
      <c r="G45" s="50">
        <f t="shared" si="11"/>
        <v>144.99374999999998</v>
      </c>
      <c r="H45" s="50">
        <f t="shared" si="12"/>
        <v>38.35813492063492</v>
      </c>
      <c r="I45" s="50">
        <f t="shared" si="13"/>
        <v>105.80624999999999</v>
      </c>
      <c r="J45" s="50">
        <f t="shared" si="14"/>
        <v>27.991071428571427</v>
      </c>
      <c r="K45" s="57">
        <f t="shared" si="15"/>
        <v>24.7</v>
      </c>
      <c r="L45" s="50">
        <f t="shared" si="5"/>
        <v>102.80769230769229</v>
      </c>
      <c r="M45" s="50">
        <f t="shared" si="6"/>
        <v>27.197802197802194</v>
      </c>
      <c r="N45" s="1">
        <v>8</v>
      </c>
      <c r="O45" s="50">
        <f t="shared" si="7"/>
        <v>12.850961538461537</v>
      </c>
      <c r="P45" s="50">
        <f t="shared" si="17"/>
        <v>3.399725274725274</v>
      </c>
    </row>
    <row r="46" spans="1:16" ht="13.5">
      <c r="A46" s="53"/>
      <c r="E46" s="1"/>
      <c r="G46" s="50"/>
      <c r="H46" s="50"/>
      <c r="I46" s="50"/>
      <c r="J46" s="50"/>
      <c r="L46" s="50"/>
      <c r="M46" s="50"/>
      <c r="N46" s="1"/>
      <c r="O46" s="50"/>
      <c r="P46" s="50"/>
    </row>
    <row r="47" spans="1:16" ht="13.5">
      <c r="A47" s="53"/>
      <c r="E47" s="1"/>
      <c r="G47" s="50"/>
      <c r="H47" s="50"/>
      <c r="I47" s="50"/>
      <c r="J47" s="50"/>
      <c r="L47" s="50"/>
      <c r="M47" s="50"/>
      <c r="N47" s="1"/>
      <c r="O47" s="50"/>
      <c r="P47" s="50"/>
    </row>
    <row r="48" spans="1:16" ht="13.5">
      <c r="A48" s="53"/>
      <c r="E48" s="1"/>
      <c r="G48" s="50"/>
      <c r="H48" s="50"/>
      <c r="I48" s="50"/>
      <c r="J48" s="50"/>
      <c r="L48" s="50"/>
      <c r="M48" s="50"/>
      <c r="N48" s="1"/>
      <c r="O48" s="50"/>
      <c r="P48" s="50"/>
    </row>
    <row r="49" spans="1:16" ht="13.5">
      <c r="A49" s="53"/>
      <c r="E49" s="1"/>
      <c r="G49" s="50"/>
      <c r="H49" s="50"/>
      <c r="I49" s="50"/>
      <c r="J49" s="50"/>
      <c r="L49" s="50"/>
      <c r="M49" s="50"/>
      <c r="N49" s="1"/>
      <c r="O49" s="50"/>
      <c r="P49" s="50"/>
    </row>
    <row r="50" spans="1:15" ht="13.5">
      <c r="A50" s="53"/>
      <c r="E50" s="1"/>
      <c r="G50" s="50"/>
      <c r="H50" s="50"/>
      <c r="I50" s="50"/>
      <c r="J50" s="50"/>
      <c r="L50" s="50"/>
      <c r="M50" s="50"/>
      <c r="N50" s="1"/>
      <c r="O50" s="50"/>
    </row>
    <row r="51" spans="1:16" ht="13.5">
      <c r="A51" s="53"/>
      <c r="E51" s="1"/>
      <c r="G51" s="50"/>
      <c r="H51" s="50"/>
      <c r="I51" s="50"/>
      <c r="J51" s="50"/>
      <c r="L51" s="50"/>
      <c r="M51" s="50"/>
      <c r="N51" s="1"/>
      <c r="O51" s="50"/>
      <c r="P51" s="50"/>
    </row>
    <row r="52" spans="1:16" ht="13.5">
      <c r="A52" s="53"/>
      <c r="E52" s="1"/>
      <c r="G52" s="50"/>
      <c r="H52" s="50"/>
      <c r="I52" s="50"/>
      <c r="J52" s="50"/>
      <c r="L52" s="50"/>
      <c r="M52" s="50"/>
      <c r="N52" s="1"/>
      <c r="O52" s="50"/>
      <c r="P52" s="50"/>
    </row>
    <row r="53" spans="5:14" ht="13.5">
      <c r="E53" s="1"/>
      <c r="J53"/>
      <c r="M53"/>
      <c r="N53" s="1"/>
    </row>
    <row r="54" spans="5:14" ht="13.5">
      <c r="E54" s="1"/>
      <c r="J54"/>
      <c r="M54"/>
      <c r="N54" s="1"/>
    </row>
    <row r="55" spans="5:14" ht="13.5">
      <c r="E55" s="1"/>
      <c r="J55"/>
      <c r="M55"/>
      <c r="N55" s="1"/>
    </row>
    <row r="56" spans="5:14" ht="13.5">
      <c r="E56" s="1"/>
      <c r="J56"/>
      <c r="M56"/>
      <c r="N56" s="1"/>
    </row>
    <row r="57" spans="5:14" ht="13.5">
      <c r="E57" s="1"/>
      <c r="J57"/>
      <c r="M57"/>
      <c r="N57" s="1"/>
    </row>
    <row r="58" spans="5:14" ht="13.5">
      <c r="E58" s="1"/>
      <c r="J58"/>
      <c r="M58"/>
      <c r="N58" s="1"/>
    </row>
    <row r="59" spans="5:14" ht="13.5">
      <c r="E59" s="1"/>
      <c r="J59"/>
      <c r="M59"/>
      <c r="N59" s="1"/>
    </row>
    <row r="60" spans="5:14" ht="13.5">
      <c r="E60" s="1"/>
      <c r="J60"/>
      <c r="M60"/>
      <c r="N60" s="1"/>
    </row>
    <row r="61" spans="5:14" ht="13.5">
      <c r="E61" s="1"/>
      <c r="J61"/>
      <c r="M61"/>
      <c r="N61" s="1"/>
    </row>
    <row r="62" spans="5:14" ht="13.5">
      <c r="E62" s="1"/>
      <c r="J62"/>
      <c r="M62"/>
      <c r="N62" s="1"/>
    </row>
    <row r="63" spans="5:14" ht="13.5">
      <c r="E63" s="1"/>
      <c r="J63"/>
      <c r="M63"/>
      <c r="N63" s="1"/>
    </row>
    <row r="64" spans="5:14" ht="13.5">
      <c r="E64" s="1"/>
      <c r="J64"/>
      <c r="M64"/>
      <c r="N64" s="1"/>
    </row>
    <row r="65" spans="5:14" ht="13.5">
      <c r="E65" s="1"/>
      <c r="J65"/>
      <c r="M65"/>
      <c r="N65" s="1"/>
    </row>
    <row r="66" spans="5:14" ht="13.5">
      <c r="E66" s="1"/>
      <c r="J66"/>
      <c r="M66"/>
      <c r="N66" s="1"/>
    </row>
    <row r="67" spans="5:14" ht="13.5">
      <c r="E67" s="1"/>
      <c r="J67"/>
      <c r="M67"/>
      <c r="N67" s="1"/>
    </row>
    <row r="68" spans="5:14" ht="13.5">
      <c r="E68" s="1"/>
      <c r="J68"/>
      <c r="M68"/>
      <c r="N68" s="1"/>
    </row>
    <row r="69" spans="5:14" ht="13.5">
      <c r="E69" s="1"/>
      <c r="J69"/>
      <c r="M69"/>
      <c r="N69" s="1"/>
    </row>
    <row r="70" spans="5:14" ht="13.5">
      <c r="E70" s="1"/>
      <c r="J70"/>
      <c r="M70"/>
      <c r="N70" s="1"/>
    </row>
    <row r="71" spans="5:14" ht="13.5">
      <c r="E71" s="1"/>
      <c r="J71"/>
      <c r="M71"/>
      <c r="N71" s="1"/>
    </row>
    <row r="72" spans="5:14" ht="13.5">
      <c r="E72" s="1"/>
      <c r="J72"/>
      <c r="M72"/>
      <c r="N72" s="1"/>
    </row>
    <row r="73" spans="5:14" ht="13.5">
      <c r="E73" s="1"/>
      <c r="J73"/>
      <c r="M73"/>
      <c r="N73" s="1"/>
    </row>
    <row r="74" spans="5:14" ht="13.5">
      <c r="E74" s="1"/>
      <c r="J74"/>
      <c r="M74"/>
      <c r="N74" s="1"/>
    </row>
    <row r="75" spans="5:14" ht="13.5">
      <c r="E75" s="1"/>
      <c r="J75"/>
      <c r="M75"/>
      <c r="N75" s="1"/>
    </row>
    <row r="76" spans="5:14" ht="13.5">
      <c r="E76" s="1"/>
      <c r="J76"/>
      <c r="M76"/>
      <c r="N76" s="1"/>
    </row>
    <row r="77" spans="5:14" ht="13.5">
      <c r="E77" s="1"/>
      <c r="J77"/>
      <c r="M77"/>
      <c r="N77" s="1"/>
    </row>
    <row r="78" spans="5:14" ht="13.5">
      <c r="E78" s="1"/>
      <c r="J78"/>
      <c r="M78"/>
      <c r="N78" s="1"/>
    </row>
    <row r="79" spans="5:14" ht="13.5">
      <c r="E79" s="1"/>
      <c r="J79"/>
      <c r="M79"/>
      <c r="N79" s="1"/>
    </row>
    <row r="80" spans="5:14" ht="13.5">
      <c r="E80" s="1"/>
      <c r="J80"/>
      <c r="M80"/>
      <c r="N80" s="1"/>
    </row>
    <row r="81" spans="5:14" ht="13.5">
      <c r="E81" s="1"/>
      <c r="J81"/>
      <c r="M81"/>
      <c r="N81" s="1"/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8"/>
  <sheetViews>
    <sheetView zoomScale="90" zoomScaleNormal="90" zoomScaleSheetLayoutView="110" workbookViewId="0" topLeftCell="A1">
      <pane ySplit="10" topLeftCell="BM42" activePane="bottomLeft" state="frozen"/>
      <selection pane="topLeft" activeCell="A1" sqref="A1"/>
      <selection pane="bottomLeft" activeCell="C49" sqref="C49"/>
    </sheetView>
  </sheetViews>
  <sheetFormatPr defaultColWidth="8.8515625" defaultRowHeight="15"/>
  <cols>
    <col min="1" max="1" width="10.7109375" style="77" customWidth="1"/>
    <col min="2" max="2" width="11.7109375" style="78" customWidth="1"/>
    <col min="3" max="4" width="8.7109375" style="1" customWidth="1"/>
    <col min="5" max="5" width="12.28125" style="1" customWidth="1"/>
    <col min="6" max="6" width="11.00390625" style="0" customWidth="1"/>
    <col min="7" max="7" width="13.7109375" style="0" customWidth="1"/>
    <col min="8" max="8" width="17.8515625" style="0" customWidth="1"/>
    <col min="9" max="9" width="11.28125" style="1" customWidth="1"/>
    <col min="10" max="10" width="13.00390625" style="1" customWidth="1"/>
    <col min="11" max="11" width="34.7109375" style="0" customWidth="1"/>
    <col min="12" max="254" width="8.7109375" style="0" customWidth="1"/>
  </cols>
  <sheetData>
    <row r="1" spans="1:10" ht="13.5">
      <c r="A1" s="79" t="s">
        <v>119</v>
      </c>
      <c r="B1" s="77"/>
      <c r="C1"/>
      <c r="D1"/>
      <c r="E1"/>
      <c r="I1"/>
      <c r="J1"/>
    </row>
    <row r="2" spans="1:10" ht="13.5">
      <c r="A2" s="79"/>
      <c r="B2" s="77"/>
      <c r="C2"/>
      <c r="D2"/>
      <c r="E2"/>
      <c r="F2" s="80" t="s">
        <v>120</v>
      </c>
      <c r="G2">
        <v>330</v>
      </c>
      <c r="H2" t="s">
        <v>105</v>
      </c>
      <c r="I2"/>
      <c r="J2"/>
    </row>
    <row r="3" spans="1:10" ht="13.5">
      <c r="A3" s="79" t="s">
        <v>121</v>
      </c>
      <c r="B3" s="77"/>
      <c r="C3"/>
      <c r="D3"/>
      <c r="E3"/>
      <c r="G3" s="1">
        <f>G2/3.78</f>
        <v>87.30158730158729</v>
      </c>
      <c r="H3" t="s">
        <v>122</v>
      </c>
      <c r="I3"/>
      <c r="J3"/>
    </row>
    <row r="4" spans="1:10" ht="13.5">
      <c r="A4" s="81" t="s">
        <v>123</v>
      </c>
      <c r="B4" s="82">
        <v>54</v>
      </c>
      <c r="C4" t="s">
        <v>124</v>
      </c>
      <c r="D4"/>
      <c r="E4"/>
      <c r="I4"/>
      <c r="J4"/>
    </row>
    <row r="5" spans="1:10" ht="13.5">
      <c r="A5" s="81" t="s">
        <v>125</v>
      </c>
      <c r="B5" s="82">
        <v>1.1</v>
      </c>
      <c r="C5" t="s">
        <v>126</v>
      </c>
      <c r="D5"/>
      <c r="E5"/>
      <c r="I5"/>
      <c r="J5"/>
    </row>
    <row r="6" spans="1:10" ht="13.5">
      <c r="A6" s="79"/>
      <c r="B6" s="77"/>
      <c r="C6"/>
      <c r="D6"/>
      <c r="E6"/>
      <c r="I6"/>
      <c r="J6"/>
    </row>
    <row r="7" spans="1:10" ht="13.5">
      <c r="A7" s="79"/>
      <c r="B7" s="77"/>
      <c r="C7"/>
      <c r="D7"/>
      <c r="E7"/>
      <c r="I7"/>
      <c r="J7" t="s">
        <v>127</v>
      </c>
    </row>
    <row r="8" spans="1:10" ht="13.5">
      <c r="A8" s="83"/>
      <c r="B8" s="77"/>
      <c r="C8" s="34"/>
      <c r="D8" s="34"/>
      <c r="E8" s="58" t="s">
        <v>128</v>
      </c>
      <c r="I8"/>
      <c r="J8"/>
    </row>
    <row r="9" spans="1:253" s="58" customFormat="1" ht="27.75">
      <c r="A9" s="79" t="s">
        <v>72</v>
      </c>
      <c r="B9" s="79" t="s">
        <v>73</v>
      </c>
      <c r="C9" s="84" t="s">
        <v>0</v>
      </c>
      <c r="D9" s="84"/>
      <c r="E9" s="85" t="s">
        <v>1</v>
      </c>
      <c r="F9" s="86" t="s">
        <v>2</v>
      </c>
      <c r="G9" s="58" t="s">
        <v>3</v>
      </c>
      <c r="H9" s="58" t="s">
        <v>4</v>
      </c>
      <c r="I9" s="36" t="s">
        <v>5</v>
      </c>
      <c r="J9" s="36" t="s">
        <v>6</v>
      </c>
      <c r="K9" s="58" t="s">
        <v>85</v>
      </c>
      <c r="IS9"/>
    </row>
    <row r="10" spans="1:253" s="58" customFormat="1" ht="13.5">
      <c r="A10" s="79"/>
      <c r="B10" s="79"/>
      <c r="C10" s="87" t="s">
        <v>7</v>
      </c>
      <c r="D10" s="87" t="s">
        <v>87</v>
      </c>
      <c r="E10" s="36" t="s">
        <v>8</v>
      </c>
      <c r="F10" s="88" t="s">
        <v>9</v>
      </c>
      <c r="G10" s="88" t="s">
        <v>9</v>
      </c>
      <c r="H10" s="88" t="s">
        <v>9</v>
      </c>
      <c r="I10" s="87" t="s">
        <v>8</v>
      </c>
      <c r="J10" s="87" t="s">
        <v>10</v>
      </c>
      <c r="L10" s="58" t="s">
        <v>11</v>
      </c>
      <c r="IS10"/>
    </row>
    <row r="11" spans="1:12" ht="23.25" customHeight="1">
      <c r="A11" s="89">
        <v>40433</v>
      </c>
      <c r="B11" s="78">
        <v>0.5416666666666666</v>
      </c>
      <c r="C11" s="1">
        <v>603</v>
      </c>
      <c r="D11" s="1">
        <v>47</v>
      </c>
      <c r="F11" s="52"/>
      <c r="G11" s="52"/>
      <c r="H11" s="2">
        <f>(4/5)*G3</f>
        <v>69.84126984126983</v>
      </c>
      <c r="K11" t="s">
        <v>12</v>
      </c>
      <c r="L11" s="52">
        <f aca="true" t="shared" si="0" ref="L11:L18">C16+D16/60</f>
        <v>615.5666666666667</v>
      </c>
    </row>
    <row r="12" spans="1:12" ht="23.25" customHeight="1">
      <c r="A12" s="89">
        <v>40433</v>
      </c>
      <c r="B12" s="78">
        <v>0.75</v>
      </c>
      <c r="C12" s="1">
        <v>605</v>
      </c>
      <c r="D12" s="1">
        <v>17</v>
      </c>
      <c r="E12" s="1">
        <v>43219</v>
      </c>
      <c r="F12" s="52">
        <f aca="true" t="shared" si="1" ref="F12:F48">((C12+(D12/60))-(C11+(D11/60)))*1.1</f>
        <v>1.6500000000000001</v>
      </c>
      <c r="G12" s="52">
        <f aca="true" t="shared" si="2" ref="G12:G48">F12+G11</f>
        <v>1.6500000000000001</v>
      </c>
      <c r="H12" s="2">
        <f aca="true" t="shared" si="3" ref="H12:H18">(H11-F12)</f>
        <v>68.19126984126983</v>
      </c>
      <c r="I12" s="1">
        <v>0</v>
      </c>
      <c r="J12" s="1">
        <v>49226.1</v>
      </c>
      <c r="K12" t="s">
        <v>13</v>
      </c>
      <c r="L12" s="52">
        <f t="shared" si="0"/>
        <v>620.25</v>
      </c>
    </row>
    <row r="13" spans="1:12" ht="13.5">
      <c r="A13" s="89">
        <v>40434</v>
      </c>
      <c r="B13" s="78">
        <v>0.375</v>
      </c>
      <c r="C13" s="1">
        <v>605</v>
      </c>
      <c r="D13" s="1">
        <v>17</v>
      </c>
      <c r="E13" s="1">
        <v>43219</v>
      </c>
      <c r="F13" s="52">
        <f t="shared" si="1"/>
        <v>0</v>
      </c>
      <c r="G13" s="52">
        <f t="shared" si="2"/>
        <v>1.6500000000000001</v>
      </c>
      <c r="H13" s="2">
        <f t="shared" si="3"/>
        <v>68.19126984126983</v>
      </c>
      <c r="I13" s="1">
        <v>50</v>
      </c>
      <c r="J13" s="1">
        <v>49276.1</v>
      </c>
      <c r="L13" s="52">
        <f t="shared" si="0"/>
        <v>623.0833333333334</v>
      </c>
    </row>
    <row r="14" spans="1:12" ht="13.5">
      <c r="A14" s="89">
        <v>40435</v>
      </c>
      <c r="B14" s="78">
        <v>0.3541666666666667</v>
      </c>
      <c r="C14" s="1">
        <v>608</v>
      </c>
      <c r="D14" s="1">
        <v>24</v>
      </c>
      <c r="E14" s="1">
        <v>43374</v>
      </c>
      <c r="F14" s="52">
        <f t="shared" si="1"/>
        <v>3.428333333333342</v>
      </c>
      <c r="G14" s="52">
        <f t="shared" si="2"/>
        <v>5.078333333333342</v>
      </c>
      <c r="H14" s="2">
        <f t="shared" si="3"/>
        <v>64.76293650793649</v>
      </c>
      <c r="I14" s="1">
        <v>185.6</v>
      </c>
      <c r="J14" s="1">
        <v>49411.7</v>
      </c>
      <c r="L14" s="52">
        <f t="shared" si="0"/>
        <v>627.1</v>
      </c>
    </row>
    <row r="15" spans="1:12" ht="13.5">
      <c r="A15" s="89">
        <v>40436</v>
      </c>
      <c r="B15" s="78">
        <v>0.3541666666666667</v>
      </c>
      <c r="C15" s="1">
        <v>611</v>
      </c>
      <c r="D15" s="1">
        <v>1</v>
      </c>
      <c r="E15" s="1">
        <v>43504</v>
      </c>
      <c r="F15" s="52">
        <f t="shared" si="1"/>
        <v>2.878333333333342</v>
      </c>
      <c r="G15" s="52">
        <f t="shared" si="2"/>
        <v>7.956666666666684</v>
      </c>
      <c r="H15" s="2">
        <f t="shared" si="3"/>
        <v>61.88460317460314</v>
      </c>
      <c r="I15" s="1">
        <v>354.5</v>
      </c>
      <c r="J15" s="1">
        <v>44580.6</v>
      </c>
      <c r="L15" s="52">
        <f t="shared" si="0"/>
        <v>628.9166666666666</v>
      </c>
    </row>
    <row r="16" spans="1:12" ht="13.5">
      <c r="A16" s="89">
        <v>40437</v>
      </c>
      <c r="B16" s="78">
        <v>0.35208333333333336</v>
      </c>
      <c r="C16" s="1">
        <v>615</v>
      </c>
      <c r="D16" s="1">
        <v>34</v>
      </c>
      <c r="E16" s="1">
        <v>43720.4</v>
      </c>
      <c r="F16" s="52">
        <f t="shared" si="1"/>
        <v>5.005000000000075</v>
      </c>
      <c r="G16" s="52">
        <f t="shared" si="2"/>
        <v>12.961666666666758</v>
      </c>
      <c r="H16" s="2">
        <f t="shared" si="3"/>
        <v>56.87960317460307</v>
      </c>
      <c r="I16" s="1">
        <v>553.7</v>
      </c>
      <c r="J16" s="1">
        <v>49779.8</v>
      </c>
      <c r="L16" s="52">
        <f t="shared" si="0"/>
        <v>632.6833333333333</v>
      </c>
    </row>
    <row r="17" spans="1:12" ht="13.5">
      <c r="A17" s="89">
        <v>40438</v>
      </c>
      <c r="B17" s="78">
        <v>0.3576388888888889</v>
      </c>
      <c r="C17" s="1">
        <v>620</v>
      </c>
      <c r="D17" s="1">
        <v>15</v>
      </c>
      <c r="E17" s="1">
        <v>43915.4</v>
      </c>
      <c r="F17" s="52">
        <f t="shared" si="1"/>
        <v>5.151666666666609</v>
      </c>
      <c r="G17" s="52">
        <f t="shared" si="2"/>
        <v>18.113333333333365</v>
      </c>
      <c r="H17" s="2">
        <f t="shared" si="3"/>
        <v>51.72793650793646</v>
      </c>
      <c r="I17" s="1">
        <v>746.9</v>
      </c>
      <c r="J17" s="1">
        <v>49973</v>
      </c>
      <c r="L17" s="52">
        <f t="shared" si="0"/>
        <v>637.6666666666666</v>
      </c>
    </row>
    <row r="18" spans="1:12" ht="13.5">
      <c r="A18" s="89">
        <v>40439</v>
      </c>
      <c r="B18" s="78">
        <v>0.3506944444444444</v>
      </c>
      <c r="C18" s="1">
        <v>623</v>
      </c>
      <c r="D18" s="1">
        <v>5</v>
      </c>
      <c r="E18" s="1">
        <v>44081.2</v>
      </c>
      <c r="F18" s="52">
        <f t="shared" si="1"/>
        <v>3.1166666666667084</v>
      </c>
      <c r="G18" s="52">
        <f t="shared" si="2"/>
        <v>21.230000000000075</v>
      </c>
      <c r="H18" s="2">
        <f t="shared" si="3"/>
        <v>48.61126984126975</v>
      </c>
      <c r="I18" s="1">
        <v>896.8</v>
      </c>
      <c r="J18" s="1">
        <v>50122.9</v>
      </c>
      <c r="L18" s="52">
        <f t="shared" si="0"/>
        <v>644.1833333333333</v>
      </c>
    </row>
    <row r="19" spans="1:11" ht="13.5">
      <c r="A19" s="89">
        <v>40440</v>
      </c>
      <c r="B19" s="78">
        <v>0.625</v>
      </c>
      <c r="C19" s="1">
        <v>627</v>
      </c>
      <c r="D19" s="1">
        <v>6</v>
      </c>
      <c r="E19" s="1">
        <v>44171.2</v>
      </c>
      <c r="F19" s="52">
        <f t="shared" si="1"/>
        <v>4.418333333333317</v>
      </c>
      <c r="G19" s="52">
        <f t="shared" si="2"/>
        <v>25.64833333333339</v>
      </c>
      <c r="H19" s="2">
        <f>(H18-F19)+25</f>
        <v>69.19293650793644</v>
      </c>
      <c r="I19" s="1">
        <v>930.8</v>
      </c>
      <c r="J19" s="1">
        <v>50156.9</v>
      </c>
      <c r="K19" t="s">
        <v>14</v>
      </c>
    </row>
    <row r="20" spans="1:10" ht="13.5">
      <c r="A20" s="89">
        <v>40441</v>
      </c>
      <c r="B20" s="78">
        <v>0.3541666666666667</v>
      </c>
      <c r="C20" s="1">
        <v>628</v>
      </c>
      <c r="D20" s="1">
        <v>55</v>
      </c>
      <c r="E20" s="1">
        <v>44106.2</v>
      </c>
      <c r="F20" s="52">
        <f t="shared" si="1"/>
        <v>1.998333333333267</v>
      </c>
      <c r="G20" s="52">
        <f t="shared" si="2"/>
        <v>27.646666666666658</v>
      </c>
      <c r="H20" s="2">
        <f aca="true" t="shared" si="4" ref="H20:H26">(H19-F20)</f>
        <v>67.19460317460317</v>
      </c>
      <c r="I20" s="1">
        <v>1018.6</v>
      </c>
      <c r="J20" s="1">
        <v>50244</v>
      </c>
    </row>
    <row r="21" spans="1:10" ht="13.5">
      <c r="A21" s="89">
        <v>40442</v>
      </c>
      <c r="B21" s="78">
        <v>0.3611111111111111</v>
      </c>
      <c r="C21" s="1">
        <v>632</v>
      </c>
      <c r="D21" s="1">
        <v>41</v>
      </c>
      <c r="E21" s="1">
        <v>44391.2</v>
      </c>
      <c r="F21" s="52">
        <f t="shared" si="1"/>
        <v>4.143333333333317</v>
      </c>
      <c r="G21" s="52">
        <f t="shared" si="2"/>
        <v>31.789999999999974</v>
      </c>
      <c r="H21" s="2">
        <f t="shared" si="4"/>
        <v>63.05126984126986</v>
      </c>
      <c r="I21" s="1">
        <v>1239.1</v>
      </c>
      <c r="J21" s="1">
        <v>50465.2</v>
      </c>
    </row>
    <row r="22" spans="1:10" ht="13.5">
      <c r="A22" s="89">
        <v>40443</v>
      </c>
      <c r="B22" s="78">
        <v>0.3611111111111111</v>
      </c>
      <c r="C22" s="1">
        <v>637</v>
      </c>
      <c r="D22" s="1">
        <v>40</v>
      </c>
      <c r="E22" s="1">
        <v>44591.2</v>
      </c>
      <c r="F22" s="52">
        <f t="shared" si="1"/>
        <v>5.481666666666683</v>
      </c>
      <c r="G22" s="52">
        <f t="shared" si="2"/>
        <v>37.27166666666666</v>
      </c>
      <c r="H22" s="2">
        <f t="shared" si="4"/>
        <v>57.569603174603174</v>
      </c>
      <c r="I22" s="1">
        <v>1445.3</v>
      </c>
      <c r="J22" s="1">
        <v>50671.4</v>
      </c>
    </row>
    <row r="23" spans="1:10" ht="13.5">
      <c r="A23" s="89">
        <v>40444</v>
      </c>
      <c r="B23" s="78">
        <v>0.375</v>
      </c>
      <c r="C23" s="1">
        <v>644</v>
      </c>
      <c r="D23" s="1">
        <v>11</v>
      </c>
      <c r="E23" s="1">
        <v>44791.4</v>
      </c>
      <c r="F23" s="52">
        <f t="shared" si="1"/>
        <v>7.168333333333317</v>
      </c>
      <c r="G23" s="52">
        <f t="shared" si="2"/>
        <v>44.439999999999976</v>
      </c>
      <c r="H23" s="2">
        <f t="shared" si="4"/>
        <v>50.40126984126986</v>
      </c>
      <c r="I23" s="1">
        <v>1649.6</v>
      </c>
      <c r="J23" s="1">
        <v>50875.7</v>
      </c>
    </row>
    <row r="24" spans="1:12" ht="13.5">
      <c r="A24" s="89">
        <v>40445</v>
      </c>
      <c r="B24" s="78">
        <v>0.3611111111111111</v>
      </c>
      <c r="C24" s="1">
        <v>645</v>
      </c>
      <c r="D24" s="1">
        <v>25</v>
      </c>
      <c r="E24" s="1">
        <v>44856.4</v>
      </c>
      <c r="F24" s="52">
        <f t="shared" si="1"/>
        <v>1.3566666666666833</v>
      </c>
      <c r="G24" s="52">
        <f t="shared" si="2"/>
        <v>45.79666666666666</v>
      </c>
      <c r="H24" s="2">
        <f t="shared" si="4"/>
        <v>49.044603174603175</v>
      </c>
      <c r="I24" s="1">
        <v>1752.3</v>
      </c>
      <c r="J24" s="1">
        <v>50978.4</v>
      </c>
      <c r="L24" s="52">
        <f aca="true" t="shared" si="5" ref="L24:L48">C24+D24/60</f>
        <v>645.4166666666666</v>
      </c>
    </row>
    <row r="25" spans="1:12" ht="13.5">
      <c r="A25" s="89">
        <v>40446</v>
      </c>
      <c r="B25" s="78">
        <v>0.3638888888888889</v>
      </c>
      <c r="C25" s="1">
        <v>652</v>
      </c>
      <c r="D25" s="1">
        <v>40</v>
      </c>
      <c r="E25" s="1">
        <v>45072.2</v>
      </c>
      <c r="F25" s="52">
        <f t="shared" si="1"/>
        <v>7.9750000000000005</v>
      </c>
      <c r="G25" s="52">
        <f t="shared" si="2"/>
        <v>53.77166666666666</v>
      </c>
      <c r="H25" s="2">
        <f t="shared" si="4"/>
        <v>41.069603174603174</v>
      </c>
      <c r="I25" s="1">
        <v>1921.6</v>
      </c>
      <c r="J25" s="1">
        <v>51147.7</v>
      </c>
      <c r="L25" s="52">
        <f t="shared" si="5"/>
        <v>652.6666666666666</v>
      </c>
    </row>
    <row r="26" spans="1:12" ht="13.5">
      <c r="A26" s="89">
        <v>40447</v>
      </c>
      <c r="B26" s="78">
        <v>0.4166666666666667</v>
      </c>
      <c r="C26" s="1">
        <v>658</v>
      </c>
      <c r="D26" s="1">
        <v>59</v>
      </c>
      <c r="E26" s="1">
        <v>45337.8</v>
      </c>
      <c r="F26" s="52">
        <f t="shared" si="1"/>
        <v>6.948333333333392</v>
      </c>
      <c r="G26" s="52">
        <f t="shared" si="2"/>
        <v>60.720000000000056</v>
      </c>
      <c r="H26" s="2">
        <f t="shared" si="4"/>
        <v>34.12126984126978</v>
      </c>
      <c r="I26" s="1">
        <v>2130.9</v>
      </c>
      <c r="J26" s="1">
        <v>51357</v>
      </c>
      <c r="K26" t="s">
        <v>101</v>
      </c>
      <c r="L26" s="52">
        <f t="shared" si="5"/>
        <v>658.9833333333333</v>
      </c>
    </row>
    <row r="27" spans="1:12" ht="13.5">
      <c r="A27" s="89">
        <v>40451</v>
      </c>
      <c r="B27" s="78">
        <v>0.5833333333333334</v>
      </c>
      <c r="C27" s="1">
        <v>668</v>
      </c>
      <c r="D27" s="1">
        <v>12</v>
      </c>
      <c r="E27" s="1">
        <v>45422.8</v>
      </c>
      <c r="F27" s="52">
        <f t="shared" si="1"/>
        <v>10.138333333333367</v>
      </c>
      <c r="G27" s="52">
        <f t="shared" si="2"/>
        <v>70.85833333333342</v>
      </c>
      <c r="H27" s="2">
        <f>(H26-F27)+46</f>
        <v>69.98293650793642</v>
      </c>
      <c r="I27" s="1">
        <v>2319.4</v>
      </c>
      <c r="J27" s="1">
        <v>51545.5</v>
      </c>
      <c r="K27" t="s">
        <v>15</v>
      </c>
      <c r="L27" s="52">
        <f t="shared" si="5"/>
        <v>668.2</v>
      </c>
    </row>
    <row r="28" spans="1:12" ht="13.5">
      <c r="A28" s="89">
        <v>40452</v>
      </c>
      <c r="B28" s="78">
        <v>0.3402777777777778</v>
      </c>
      <c r="C28" s="1">
        <v>670</v>
      </c>
      <c r="D28" s="1">
        <v>6</v>
      </c>
      <c r="E28" s="1">
        <v>45422.8</v>
      </c>
      <c r="F28" s="52">
        <f t="shared" si="1"/>
        <v>2.089999999999975</v>
      </c>
      <c r="G28" s="52">
        <f t="shared" si="2"/>
        <v>72.9483333333334</v>
      </c>
      <c r="H28" s="2">
        <f aca="true" t="shared" si="6" ref="H28:H34">(H27-F28)</f>
        <v>67.89293650793644</v>
      </c>
      <c r="I28" s="1">
        <v>2385.1</v>
      </c>
      <c r="J28" s="1">
        <v>51611.2</v>
      </c>
      <c r="L28" s="52">
        <f t="shared" si="5"/>
        <v>670.1</v>
      </c>
    </row>
    <row r="29" spans="1:12" ht="13.5">
      <c r="A29" s="89">
        <v>40453</v>
      </c>
      <c r="B29" s="78">
        <v>0.375</v>
      </c>
      <c r="C29" s="1">
        <v>674</v>
      </c>
      <c r="D29" s="1">
        <v>0</v>
      </c>
      <c r="E29" s="1">
        <v>45477.8</v>
      </c>
      <c r="F29" s="52">
        <f t="shared" si="1"/>
        <v>4.289999999999975</v>
      </c>
      <c r="G29" s="52">
        <f t="shared" si="2"/>
        <v>77.23833333333337</v>
      </c>
      <c r="H29" s="2">
        <f t="shared" si="6"/>
        <v>63.60293650793646</v>
      </c>
      <c r="I29" s="1">
        <v>2498.3</v>
      </c>
      <c r="J29" s="1">
        <v>51724.4</v>
      </c>
      <c r="L29" s="52">
        <f t="shared" si="5"/>
        <v>674</v>
      </c>
    </row>
    <row r="30" spans="1:12" ht="13.5">
      <c r="A30" s="89">
        <v>40454</v>
      </c>
      <c r="B30" s="78">
        <v>0.3576388888888889</v>
      </c>
      <c r="C30" s="1">
        <v>683</v>
      </c>
      <c r="D30" s="1">
        <v>6</v>
      </c>
      <c r="E30" s="1">
        <v>45603.4</v>
      </c>
      <c r="F30" s="52">
        <f t="shared" si="1"/>
        <v>10.010000000000026</v>
      </c>
      <c r="G30" s="52">
        <f t="shared" si="2"/>
        <v>87.24833333333339</v>
      </c>
      <c r="H30" s="2">
        <f t="shared" si="6"/>
        <v>53.592936507936436</v>
      </c>
      <c r="I30" s="1">
        <v>2604.7</v>
      </c>
      <c r="J30" s="1">
        <v>51830.8</v>
      </c>
      <c r="L30" s="52">
        <f t="shared" si="5"/>
        <v>683.1</v>
      </c>
    </row>
    <row r="31" spans="1:12" ht="13.5">
      <c r="A31" s="89">
        <v>40455</v>
      </c>
      <c r="B31" s="78">
        <v>0.3854166666666667</v>
      </c>
      <c r="C31" s="1">
        <v>690</v>
      </c>
      <c r="D31" s="1">
        <v>31</v>
      </c>
      <c r="E31" s="1">
        <v>45759.5</v>
      </c>
      <c r="F31" s="52">
        <f t="shared" si="1"/>
        <v>8.158333333333292</v>
      </c>
      <c r="G31" s="52">
        <f t="shared" si="2"/>
        <v>95.40666666666668</v>
      </c>
      <c r="H31" s="2">
        <f t="shared" si="6"/>
        <v>45.43460317460314</v>
      </c>
      <c r="I31" s="1">
        <v>2755.9</v>
      </c>
      <c r="J31" s="1">
        <v>51982</v>
      </c>
      <c r="L31" s="52">
        <f t="shared" si="5"/>
        <v>690.5166666666667</v>
      </c>
    </row>
    <row r="32" spans="1:12" ht="13.5">
      <c r="A32" s="89">
        <v>40456</v>
      </c>
      <c r="B32" s="78">
        <v>0.36319444444444443</v>
      </c>
      <c r="C32" s="1">
        <v>693</v>
      </c>
      <c r="D32" s="1">
        <v>42</v>
      </c>
      <c r="E32" s="1">
        <v>45840</v>
      </c>
      <c r="F32" s="52">
        <f t="shared" si="1"/>
        <v>3.5016666666667335</v>
      </c>
      <c r="G32" s="52">
        <f t="shared" si="2"/>
        <v>98.90833333333342</v>
      </c>
      <c r="H32" s="2">
        <f t="shared" si="6"/>
        <v>41.932936507936404</v>
      </c>
      <c r="I32" s="1">
        <v>2845.9</v>
      </c>
      <c r="J32" s="1">
        <v>52072</v>
      </c>
      <c r="L32" s="52">
        <f t="shared" si="5"/>
        <v>693.7</v>
      </c>
    </row>
    <row r="33" spans="1:12" ht="13.5">
      <c r="A33" s="89">
        <v>40457</v>
      </c>
      <c r="B33" s="78">
        <v>0.3541666666666667</v>
      </c>
      <c r="C33" s="1">
        <v>696</v>
      </c>
      <c r="D33" s="1">
        <v>17</v>
      </c>
      <c r="E33" s="1">
        <v>45945</v>
      </c>
      <c r="F33" s="52">
        <f t="shared" si="1"/>
        <v>2.8416666666665837</v>
      </c>
      <c r="G33" s="52">
        <f t="shared" si="2"/>
        <v>101.75</v>
      </c>
      <c r="H33" s="2">
        <f t="shared" si="6"/>
        <v>39.09126984126982</v>
      </c>
      <c r="I33" s="1">
        <v>2958.1</v>
      </c>
      <c r="J33" s="1">
        <v>52184.2</v>
      </c>
      <c r="L33" s="52">
        <f t="shared" si="5"/>
        <v>696.2833333333333</v>
      </c>
    </row>
    <row r="34" spans="1:12" ht="13.5">
      <c r="A34" s="89">
        <v>40458</v>
      </c>
      <c r="B34" s="78">
        <v>0.3541666666666667</v>
      </c>
      <c r="C34" s="1">
        <v>702</v>
      </c>
      <c r="D34" s="1">
        <v>54</v>
      </c>
      <c r="E34" s="1">
        <v>46171.5</v>
      </c>
      <c r="F34" s="52">
        <f t="shared" si="1"/>
        <v>7.278333333333342</v>
      </c>
      <c r="G34" s="52">
        <f t="shared" si="2"/>
        <v>109.02833333333334</v>
      </c>
      <c r="H34" s="2">
        <f t="shared" si="6"/>
        <v>31.812936507936477</v>
      </c>
      <c r="I34" s="1">
        <v>3126.1</v>
      </c>
      <c r="J34" s="1">
        <v>52352.2</v>
      </c>
      <c r="L34" s="52">
        <f t="shared" si="5"/>
        <v>702.9</v>
      </c>
    </row>
    <row r="35" spans="1:12" ht="13.5">
      <c r="A35" s="89">
        <v>40459</v>
      </c>
      <c r="B35" s="78">
        <v>0.6111111111111112</v>
      </c>
      <c r="C35" s="1">
        <v>709</v>
      </c>
      <c r="D35" s="1">
        <v>9</v>
      </c>
      <c r="E35" s="1">
        <v>462891.5</v>
      </c>
      <c r="F35" s="52">
        <f t="shared" si="1"/>
        <v>6.875000000000001</v>
      </c>
      <c r="G35" s="52">
        <f t="shared" si="2"/>
        <v>115.90333333333334</v>
      </c>
      <c r="H35" s="2">
        <f>(H34-F35)+52</f>
        <v>76.93793650793648</v>
      </c>
      <c r="I35" s="1">
        <v>3246.4</v>
      </c>
      <c r="J35" s="1">
        <v>52472.5</v>
      </c>
      <c r="L35" s="52">
        <f t="shared" si="5"/>
        <v>709.15</v>
      </c>
    </row>
    <row r="36" spans="1:12" ht="13.5">
      <c r="A36" s="89">
        <v>40460</v>
      </c>
      <c r="B36" s="78">
        <v>0.3611111111111111</v>
      </c>
      <c r="C36" s="1">
        <v>709</v>
      </c>
      <c r="D36" s="1">
        <v>46</v>
      </c>
      <c r="E36" s="1">
        <v>46301.5</v>
      </c>
      <c r="F36" s="52">
        <f t="shared" si="1"/>
        <v>0.6783333333333417</v>
      </c>
      <c r="G36" s="52">
        <f t="shared" si="2"/>
        <v>116.58166666666668</v>
      </c>
      <c r="H36" s="2">
        <f>(H35-F36)</f>
        <v>76.25960317460314</v>
      </c>
      <c r="I36" s="1">
        <v>3317.8</v>
      </c>
      <c r="J36" s="1">
        <v>52543.1</v>
      </c>
      <c r="L36" s="52">
        <f t="shared" si="5"/>
        <v>709.7666666666667</v>
      </c>
    </row>
    <row r="37" spans="1:12" ht="13.5">
      <c r="A37" s="90">
        <v>40461</v>
      </c>
      <c r="B37" s="78">
        <v>0.34375</v>
      </c>
      <c r="C37" s="1">
        <v>711</v>
      </c>
      <c r="D37" s="1">
        <v>3</v>
      </c>
      <c r="E37" s="1">
        <v>46341.5</v>
      </c>
      <c r="F37" s="52">
        <f t="shared" si="1"/>
        <v>1.4116666666666335</v>
      </c>
      <c r="G37" s="52">
        <f t="shared" si="2"/>
        <v>117.99333333333331</v>
      </c>
      <c r="H37" s="2">
        <f aca="true" t="shared" si="7" ref="H37:H45">(H36-F37)</f>
        <v>74.84793650793651</v>
      </c>
      <c r="I37" s="1">
        <v>3407.7</v>
      </c>
      <c r="J37" s="1">
        <v>52633.8</v>
      </c>
      <c r="L37" s="52">
        <f t="shared" si="5"/>
        <v>711.05</v>
      </c>
    </row>
    <row r="38" spans="1:12" ht="13.5">
      <c r="A38" s="89">
        <v>40462</v>
      </c>
      <c r="B38" s="78">
        <v>0.3576388888888889</v>
      </c>
      <c r="C38" s="1">
        <v>714</v>
      </c>
      <c r="D38" s="1">
        <v>58</v>
      </c>
      <c r="E38" s="1">
        <v>46467</v>
      </c>
      <c r="F38" s="52">
        <f t="shared" si="1"/>
        <v>4.308333333333417</v>
      </c>
      <c r="G38" s="52">
        <f t="shared" si="2"/>
        <v>122.30166666666673</v>
      </c>
      <c r="H38" s="2">
        <f t="shared" si="7"/>
        <v>70.53960317460309</v>
      </c>
      <c r="I38" s="1">
        <v>3519.7</v>
      </c>
      <c r="J38" s="1">
        <v>52745.8</v>
      </c>
      <c r="K38" t="s">
        <v>16</v>
      </c>
      <c r="L38" s="52">
        <f t="shared" si="5"/>
        <v>714.9666666666667</v>
      </c>
    </row>
    <row r="39" spans="1:12" ht="13.5">
      <c r="A39" s="89">
        <v>40463</v>
      </c>
      <c r="B39" s="78">
        <v>0.3229166666666667</v>
      </c>
      <c r="C39" s="1">
        <v>718</v>
      </c>
      <c r="D39" s="1">
        <v>9</v>
      </c>
      <c r="E39" s="1">
        <v>46567.7</v>
      </c>
      <c r="F39" s="52">
        <f t="shared" si="1"/>
        <v>3.5016666666666088</v>
      </c>
      <c r="G39" s="52">
        <f t="shared" si="2"/>
        <v>125.80333333333334</v>
      </c>
      <c r="H39" s="2">
        <f>(H38-F39)+20</f>
        <v>87.03793650793648</v>
      </c>
      <c r="I39" s="1">
        <v>3641.2</v>
      </c>
      <c r="J39" s="1">
        <v>52867.3</v>
      </c>
      <c r="L39" s="52">
        <f t="shared" si="5"/>
        <v>718.15</v>
      </c>
    </row>
    <row r="40" spans="1:256" ht="13.5">
      <c r="A40" s="89">
        <v>40464</v>
      </c>
      <c r="B40" s="78">
        <v>0.3229166666666667</v>
      </c>
      <c r="C40" s="1">
        <v>718</v>
      </c>
      <c r="D40" s="1">
        <v>9</v>
      </c>
      <c r="E40" s="1">
        <v>46567.7</v>
      </c>
      <c r="F40" s="52">
        <f t="shared" si="1"/>
        <v>0</v>
      </c>
      <c r="G40" s="52">
        <f t="shared" si="2"/>
        <v>125.80333333333334</v>
      </c>
      <c r="H40" s="2">
        <v>87.04</v>
      </c>
      <c r="I40" s="1">
        <v>3641.2</v>
      </c>
      <c r="J40" s="1">
        <v>52867.3</v>
      </c>
      <c r="K40" s="89">
        <v>40463</v>
      </c>
      <c r="L40" s="78">
        <v>0.3229166666666667</v>
      </c>
      <c r="M40" s="1">
        <v>718</v>
      </c>
      <c r="N40" s="1">
        <v>9</v>
      </c>
      <c r="O40" s="1">
        <v>46567.7</v>
      </c>
      <c r="P40" s="52">
        <f>((M40+(N40/60))-(M39+(N39/60)))*1.1</f>
        <v>789.965</v>
      </c>
      <c r="Q40" s="52">
        <f>P40+Q39</f>
        <v>789.965</v>
      </c>
      <c r="R40" s="2">
        <f>(R39-P40)+20</f>
        <v>-769.965</v>
      </c>
      <c r="S40" s="1">
        <v>3641.2</v>
      </c>
      <c r="T40" s="1">
        <v>52867.3</v>
      </c>
      <c r="U40" s="89">
        <v>40463</v>
      </c>
      <c r="V40" s="78">
        <v>0.3229166666666667</v>
      </c>
      <c r="W40" s="1">
        <v>718</v>
      </c>
      <c r="X40" s="1">
        <v>9</v>
      </c>
      <c r="Y40" s="1">
        <v>46567.7</v>
      </c>
      <c r="Z40" s="52">
        <f>((W40+(X40/60))-(W39+(X39/60)))*1.1</f>
        <v>789.965</v>
      </c>
      <c r="AA40" s="52">
        <f>Z40+AA39</f>
        <v>789.965</v>
      </c>
      <c r="AB40" s="2">
        <f>(AB39-Z40)+20</f>
        <v>-769.965</v>
      </c>
      <c r="AC40" s="1">
        <v>3641.2</v>
      </c>
      <c r="AD40" s="1">
        <v>52867.3</v>
      </c>
      <c r="AE40" s="89">
        <v>40463</v>
      </c>
      <c r="AF40" s="78">
        <v>0.3229166666666667</v>
      </c>
      <c r="AG40" s="1">
        <v>718</v>
      </c>
      <c r="AH40" s="1">
        <v>9</v>
      </c>
      <c r="AI40" s="1">
        <v>46567.7</v>
      </c>
      <c r="AJ40" s="52">
        <f>((AG40+(AH40/60))-(AG39+(AH39/60)))*1.1</f>
        <v>789.965</v>
      </c>
      <c r="AK40" s="52">
        <f>AJ40+AK39</f>
        <v>789.965</v>
      </c>
      <c r="AL40" s="2">
        <f>(AL39-AJ40)+20</f>
        <v>-769.965</v>
      </c>
      <c r="AM40" s="1">
        <v>3641.2</v>
      </c>
      <c r="AN40" s="1">
        <v>52867.3</v>
      </c>
      <c r="AO40" s="89">
        <v>40463</v>
      </c>
      <c r="AP40" s="78">
        <v>0.3229166666666667</v>
      </c>
      <c r="AQ40" s="1">
        <v>718</v>
      </c>
      <c r="AR40" s="1">
        <v>9</v>
      </c>
      <c r="AS40" s="1">
        <v>46567.7</v>
      </c>
      <c r="AT40" s="52">
        <f>((AQ40+(AR40/60))-(AQ39+(AR39/60)))*1.1</f>
        <v>789.965</v>
      </c>
      <c r="AU40" s="52">
        <f>AT40+AU39</f>
        <v>789.965</v>
      </c>
      <c r="AV40" s="2">
        <f>(AV39-AT40)+20</f>
        <v>-769.965</v>
      </c>
      <c r="AW40" s="1">
        <v>3641.2</v>
      </c>
      <c r="AX40" s="1">
        <v>52867.3</v>
      </c>
      <c r="AY40" s="89">
        <v>40463</v>
      </c>
      <c r="AZ40" s="78">
        <v>0.3229166666666667</v>
      </c>
      <c r="BA40" s="1">
        <v>718</v>
      </c>
      <c r="BB40" s="1">
        <v>9</v>
      </c>
      <c r="BC40" s="1">
        <v>46567.7</v>
      </c>
      <c r="BD40" s="52">
        <f>((BA40+(BB40/60))-(BA39+(BB39/60)))*1.1</f>
        <v>789.965</v>
      </c>
      <c r="BE40" s="52">
        <f>BD40+BE39</f>
        <v>789.965</v>
      </c>
      <c r="BF40" s="2">
        <f>(BF39-BD40)+20</f>
        <v>-769.965</v>
      </c>
      <c r="BG40" s="1">
        <v>3641.2</v>
      </c>
      <c r="BH40" s="1">
        <v>52867.3</v>
      </c>
      <c r="BI40" s="89">
        <v>40463</v>
      </c>
      <c r="BJ40" s="78">
        <v>0.3229166666666667</v>
      </c>
      <c r="BK40" s="1">
        <v>718</v>
      </c>
      <c r="BL40" s="1">
        <v>9</v>
      </c>
      <c r="BM40" s="1">
        <v>46567.7</v>
      </c>
      <c r="BN40" s="52">
        <f>((BK40+(BL40/60))-(BK39+(BL39/60)))*1.1</f>
        <v>789.965</v>
      </c>
      <c r="BO40" s="52">
        <f>BN40+BO39</f>
        <v>789.965</v>
      </c>
      <c r="BP40" s="2">
        <f>(BP39-BN40)+20</f>
        <v>-769.965</v>
      </c>
      <c r="BQ40" s="1">
        <v>3641.2</v>
      </c>
      <c r="BR40" s="1">
        <v>52867.3</v>
      </c>
      <c r="BS40" s="89">
        <v>40463</v>
      </c>
      <c r="BT40" s="78">
        <v>0.3229166666666667</v>
      </c>
      <c r="BU40" s="1">
        <v>718</v>
      </c>
      <c r="BV40" s="1">
        <v>9</v>
      </c>
      <c r="BW40" s="1">
        <v>46567.7</v>
      </c>
      <c r="BX40" s="52">
        <f>((BU40+(BV40/60))-(BU39+(BV39/60)))*1.1</f>
        <v>789.965</v>
      </c>
      <c r="BY40" s="52">
        <f>BX40+BY39</f>
        <v>789.965</v>
      </c>
      <c r="BZ40" s="2">
        <f>(BZ39-BX40)+20</f>
        <v>-769.965</v>
      </c>
      <c r="CA40" s="1">
        <v>3641.2</v>
      </c>
      <c r="CB40" s="1">
        <v>52867.3</v>
      </c>
      <c r="CC40" s="89">
        <v>40463</v>
      </c>
      <c r="CD40" s="78">
        <v>0.3229166666666667</v>
      </c>
      <c r="CE40" s="1">
        <v>718</v>
      </c>
      <c r="CF40" s="1">
        <v>9</v>
      </c>
      <c r="CG40" s="1">
        <v>46567.7</v>
      </c>
      <c r="CH40" s="52">
        <f>((CE40+(CF40/60))-(CE39+(CF39/60)))*1.1</f>
        <v>789.965</v>
      </c>
      <c r="CI40" s="52">
        <f>CH40+CI39</f>
        <v>789.965</v>
      </c>
      <c r="CJ40" s="2">
        <f>(CJ39-CH40)+20</f>
        <v>-769.965</v>
      </c>
      <c r="CK40" s="1">
        <v>3641.2</v>
      </c>
      <c r="CL40" s="1">
        <v>52867.3</v>
      </c>
      <c r="CM40" s="89">
        <v>40463</v>
      </c>
      <c r="CN40" s="78">
        <v>0.3229166666666667</v>
      </c>
      <c r="CO40" s="1">
        <v>718</v>
      </c>
      <c r="CP40" s="1">
        <v>9</v>
      </c>
      <c r="CQ40" s="1">
        <v>46567.7</v>
      </c>
      <c r="CR40" s="52">
        <f>((CO40+(CP40/60))-(CO39+(CP39/60)))*1.1</f>
        <v>789.965</v>
      </c>
      <c r="CS40" s="52">
        <f>CR40+CS39</f>
        <v>789.965</v>
      </c>
      <c r="CT40" s="2">
        <f>(CT39-CR40)+20</f>
        <v>-769.965</v>
      </c>
      <c r="CU40" s="1">
        <v>3641.2</v>
      </c>
      <c r="CV40" s="1">
        <v>52867.3</v>
      </c>
      <c r="CW40" s="89">
        <v>40463</v>
      </c>
      <c r="CX40" s="78">
        <v>0.3229166666666667</v>
      </c>
      <c r="CY40" s="1">
        <v>718</v>
      </c>
      <c r="CZ40" s="1">
        <v>9</v>
      </c>
      <c r="DA40" s="1">
        <v>46567.7</v>
      </c>
      <c r="DB40" s="52">
        <f>((CY40+(CZ40/60))-(CY39+(CZ39/60)))*1.1</f>
        <v>789.965</v>
      </c>
      <c r="DC40" s="52">
        <f>DB40+DC39</f>
        <v>789.965</v>
      </c>
      <c r="DD40" s="2">
        <f>(DD39-DB40)+20</f>
        <v>-769.965</v>
      </c>
      <c r="DE40" s="1">
        <v>3641.2</v>
      </c>
      <c r="DF40" s="1">
        <v>52867.3</v>
      </c>
      <c r="DG40" s="89">
        <v>40463</v>
      </c>
      <c r="DH40" s="78">
        <v>0.3229166666666667</v>
      </c>
      <c r="DI40" s="1">
        <v>718</v>
      </c>
      <c r="DJ40" s="1">
        <v>9</v>
      </c>
      <c r="DK40" s="1">
        <v>46567.7</v>
      </c>
      <c r="DL40" s="52">
        <f>((DI40+(DJ40/60))-(DI39+(DJ39/60)))*1.1</f>
        <v>789.965</v>
      </c>
      <c r="DM40" s="52">
        <f>DL40+DM39</f>
        <v>789.965</v>
      </c>
      <c r="DN40" s="2">
        <f>(DN39-DL40)+20</f>
        <v>-769.965</v>
      </c>
      <c r="DO40" s="1">
        <v>3641.2</v>
      </c>
      <c r="DP40" s="1">
        <v>52867.3</v>
      </c>
      <c r="DQ40" s="89">
        <v>40463</v>
      </c>
      <c r="DR40" s="78">
        <v>0.3229166666666667</v>
      </c>
      <c r="DS40" s="1">
        <v>718</v>
      </c>
      <c r="DT40" s="1">
        <v>9</v>
      </c>
      <c r="DU40" s="1">
        <v>46567.7</v>
      </c>
      <c r="DV40" s="52">
        <f>((DS40+(DT40/60))-(DS39+(DT39/60)))*1.1</f>
        <v>789.965</v>
      </c>
      <c r="DW40" s="52">
        <f>DV40+DW39</f>
        <v>789.965</v>
      </c>
      <c r="DX40" s="2">
        <f>(DX39-DV40)+20</f>
        <v>-769.965</v>
      </c>
      <c r="DY40" s="1">
        <v>3641.2</v>
      </c>
      <c r="DZ40" s="1">
        <v>52867.3</v>
      </c>
      <c r="EA40" s="89">
        <v>40463</v>
      </c>
      <c r="EB40" s="78">
        <v>0.3229166666666667</v>
      </c>
      <c r="EC40" s="1">
        <v>718</v>
      </c>
      <c r="ED40" s="1">
        <v>9</v>
      </c>
      <c r="EE40" s="1">
        <v>46567.7</v>
      </c>
      <c r="EF40" s="52">
        <f>((EC40+(ED40/60))-(EC39+(ED39/60)))*1.1</f>
        <v>789.965</v>
      </c>
      <c r="EG40" s="52">
        <f>EF40+EG39</f>
        <v>789.965</v>
      </c>
      <c r="EH40" s="2">
        <f>(EH39-EF40)+20</f>
        <v>-769.965</v>
      </c>
      <c r="EI40" s="1">
        <v>3641.2</v>
      </c>
      <c r="EJ40" s="1">
        <v>52867.3</v>
      </c>
      <c r="EK40" s="89">
        <v>40463</v>
      </c>
      <c r="EL40" s="78">
        <v>0.3229166666666667</v>
      </c>
      <c r="EM40" s="1">
        <v>718</v>
      </c>
      <c r="EN40" s="1">
        <v>9</v>
      </c>
      <c r="EO40" s="1">
        <v>46567.7</v>
      </c>
      <c r="EP40" s="52">
        <f>((EM40+(EN40/60))-(EM39+(EN39/60)))*1.1</f>
        <v>789.965</v>
      </c>
      <c r="EQ40" s="52">
        <f>EP40+EQ39</f>
        <v>789.965</v>
      </c>
      <c r="ER40" s="2">
        <f>(ER39-EP40)+20</f>
        <v>-769.965</v>
      </c>
      <c r="ES40" s="1">
        <v>3641.2</v>
      </c>
      <c r="ET40" s="1">
        <v>52867.3</v>
      </c>
      <c r="EU40" s="89">
        <v>40463</v>
      </c>
      <c r="EV40" s="78">
        <v>0.3229166666666667</v>
      </c>
      <c r="EW40" s="1">
        <v>718</v>
      </c>
      <c r="EX40" s="1">
        <v>9</v>
      </c>
      <c r="EY40" s="1">
        <v>46567.7</v>
      </c>
      <c r="EZ40" s="52">
        <f>((EW40+(EX40/60))-(EW39+(EX39/60)))*1.1</f>
        <v>789.965</v>
      </c>
      <c r="FA40" s="52">
        <f>EZ40+FA39</f>
        <v>789.965</v>
      </c>
      <c r="FB40" s="2">
        <f>(FB39-EZ40)+20</f>
        <v>-769.965</v>
      </c>
      <c r="FC40" s="1">
        <v>3641.2</v>
      </c>
      <c r="FD40" s="1">
        <v>52867.3</v>
      </c>
      <c r="FE40" s="89">
        <v>40463</v>
      </c>
      <c r="FF40" s="78">
        <v>0.3229166666666667</v>
      </c>
      <c r="FG40" s="1">
        <v>718</v>
      </c>
      <c r="FH40" s="1">
        <v>9</v>
      </c>
      <c r="FI40" s="1">
        <v>46567.7</v>
      </c>
      <c r="FJ40" s="52">
        <f>((FG40+(FH40/60))-(FG39+(FH39/60)))*1.1</f>
        <v>789.965</v>
      </c>
      <c r="FK40" s="52">
        <f>FJ40+FK39</f>
        <v>789.965</v>
      </c>
      <c r="FL40" s="2">
        <f>(FL39-FJ40)+20</f>
        <v>-769.965</v>
      </c>
      <c r="FM40" s="1">
        <v>3641.2</v>
      </c>
      <c r="FN40" s="1">
        <v>52867.3</v>
      </c>
      <c r="FO40" s="89">
        <v>40463</v>
      </c>
      <c r="FP40" s="78">
        <v>0.3229166666666667</v>
      </c>
      <c r="FQ40" s="1">
        <v>718</v>
      </c>
      <c r="FR40" s="1">
        <v>9</v>
      </c>
      <c r="FS40" s="1">
        <v>46567.7</v>
      </c>
      <c r="FT40" s="52">
        <f>((FQ40+(FR40/60))-(FQ39+(FR39/60)))*1.1</f>
        <v>789.965</v>
      </c>
      <c r="FU40" s="52">
        <f>FT40+FU39</f>
        <v>789.965</v>
      </c>
      <c r="FV40" s="2">
        <f>(FV39-FT40)+20</f>
        <v>-769.965</v>
      </c>
      <c r="FW40" s="1">
        <v>3641.2</v>
      </c>
      <c r="FX40" s="1">
        <v>52867.3</v>
      </c>
      <c r="FY40" s="89">
        <v>40463</v>
      </c>
      <c r="FZ40" s="78">
        <v>0.3229166666666667</v>
      </c>
      <c r="GA40" s="1">
        <v>718</v>
      </c>
      <c r="GB40" s="1">
        <v>9</v>
      </c>
      <c r="GC40" s="1">
        <v>46567.7</v>
      </c>
      <c r="GD40" s="52">
        <f>((GA40+(GB40/60))-(GA39+(GB39/60)))*1.1</f>
        <v>789.965</v>
      </c>
      <c r="GE40" s="52">
        <f>GD40+GE39</f>
        <v>789.965</v>
      </c>
      <c r="GF40" s="2">
        <f>(GF39-GD40)+20</f>
        <v>-769.965</v>
      </c>
      <c r="GG40" s="1">
        <v>3641.2</v>
      </c>
      <c r="GH40" s="1">
        <v>52867.3</v>
      </c>
      <c r="GI40" s="89">
        <v>40463</v>
      </c>
      <c r="GJ40" s="78">
        <v>0.3229166666666667</v>
      </c>
      <c r="GK40" s="1">
        <v>718</v>
      </c>
      <c r="GL40" s="1">
        <v>9</v>
      </c>
      <c r="GM40" s="1">
        <v>46567.7</v>
      </c>
      <c r="GN40" s="52">
        <f>((GK40+(GL40/60))-(GK39+(GL39/60)))*1.1</f>
        <v>789.965</v>
      </c>
      <c r="GO40" s="52">
        <f>GN40+GO39</f>
        <v>789.965</v>
      </c>
      <c r="GP40" s="2">
        <f>(GP39-GN40)+20</f>
        <v>-769.965</v>
      </c>
      <c r="GQ40" s="1">
        <v>3641.2</v>
      </c>
      <c r="GR40" s="1">
        <v>52867.3</v>
      </c>
      <c r="GS40" s="89">
        <v>40463</v>
      </c>
      <c r="GT40" s="78">
        <v>0.3229166666666667</v>
      </c>
      <c r="GU40" s="1">
        <v>718</v>
      </c>
      <c r="GV40" s="1">
        <v>9</v>
      </c>
      <c r="GW40" s="1">
        <v>46567.7</v>
      </c>
      <c r="GX40" s="52">
        <f>((GU40+(GV40/60))-(GU39+(GV39/60)))*1.1</f>
        <v>789.965</v>
      </c>
      <c r="GY40" s="52">
        <f>GX40+GY39</f>
        <v>789.965</v>
      </c>
      <c r="GZ40" s="2">
        <f>(GZ39-GX40)+20</f>
        <v>-769.965</v>
      </c>
      <c r="HA40" s="1">
        <v>3641.2</v>
      </c>
      <c r="HB40" s="1">
        <v>52867.3</v>
      </c>
      <c r="HC40" s="89">
        <v>40463</v>
      </c>
      <c r="HD40" s="78">
        <v>0.3229166666666667</v>
      </c>
      <c r="HE40" s="1">
        <v>718</v>
      </c>
      <c r="HF40" s="1">
        <v>9</v>
      </c>
      <c r="HG40" s="1">
        <v>46567.7</v>
      </c>
      <c r="HH40" s="52">
        <f>((HE40+(HF40/60))-(HE39+(HF39/60)))*1.1</f>
        <v>789.965</v>
      </c>
      <c r="HI40" s="52">
        <f>HH40+HI39</f>
        <v>789.965</v>
      </c>
      <c r="HJ40" s="2">
        <f>(HJ39-HH40)+20</f>
        <v>-769.965</v>
      </c>
      <c r="HK40" s="1">
        <v>3641.2</v>
      </c>
      <c r="HL40" s="1">
        <v>52867.3</v>
      </c>
      <c r="HM40" s="89">
        <v>40463</v>
      </c>
      <c r="HN40" s="78">
        <v>0.3229166666666667</v>
      </c>
      <c r="HO40" s="1">
        <v>718</v>
      </c>
      <c r="HP40" s="1">
        <v>9</v>
      </c>
      <c r="HQ40" s="1">
        <v>46567.7</v>
      </c>
      <c r="HR40" s="52">
        <f>((HO40+(HP40/60))-(HO39+(HP39/60)))*1.1</f>
        <v>789.965</v>
      </c>
      <c r="HS40" s="52">
        <f>HR40+HS39</f>
        <v>789.965</v>
      </c>
      <c r="HT40" s="2">
        <f>(HT39-HR40)+20</f>
        <v>-769.965</v>
      </c>
      <c r="HU40" s="1">
        <v>3641.2</v>
      </c>
      <c r="HV40" s="1">
        <v>52867.3</v>
      </c>
      <c r="HW40" s="89">
        <v>40463</v>
      </c>
      <c r="HX40" s="78">
        <v>0.3229166666666667</v>
      </c>
      <c r="HY40" s="1">
        <v>718</v>
      </c>
      <c r="HZ40" s="1">
        <v>9</v>
      </c>
      <c r="IA40" s="1">
        <v>46567.7</v>
      </c>
      <c r="IB40" s="52">
        <f>((HY40+(HZ40/60))-(HY39+(HZ39/60)))*1.1</f>
        <v>789.965</v>
      </c>
      <c r="IC40" s="52">
        <f>IB40+IC39</f>
        <v>789.965</v>
      </c>
      <c r="ID40" s="2">
        <f>(ID39-IB40)+20</f>
        <v>-769.965</v>
      </c>
      <c r="IE40" s="1">
        <v>3641.2</v>
      </c>
      <c r="IF40" s="1">
        <v>52867.3</v>
      </c>
      <c r="IG40" s="89">
        <v>40463</v>
      </c>
      <c r="IH40" s="78">
        <v>0.3229166666666667</v>
      </c>
      <c r="II40" s="1">
        <v>718</v>
      </c>
      <c r="IJ40" s="1">
        <v>9</v>
      </c>
      <c r="IK40" s="1">
        <v>46567.7</v>
      </c>
      <c r="IL40" s="52">
        <f>((II40+(IJ40/60))-(II39+(IJ39/60)))*1.1</f>
        <v>789.965</v>
      </c>
      <c r="IM40" s="52">
        <f>IL40+IM39</f>
        <v>789.965</v>
      </c>
      <c r="IN40" s="2">
        <f>(IN39-IL40)+20</f>
        <v>-769.965</v>
      </c>
      <c r="IO40" s="1">
        <v>3641.2</v>
      </c>
      <c r="IP40" s="1">
        <v>52867.3</v>
      </c>
      <c r="IQ40" s="89">
        <v>40463</v>
      </c>
      <c r="IR40" s="78">
        <v>0.3229166666666667</v>
      </c>
      <c r="IS40" s="1">
        <v>718</v>
      </c>
      <c r="IT40" s="1">
        <v>9</v>
      </c>
      <c r="IU40" s="1">
        <v>46567.7</v>
      </c>
      <c r="IV40" s="52">
        <f>((IS40+(IT40/60))-(IS39+(IT39/60)))*1.1</f>
        <v>789.965</v>
      </c>
    </row>
    <row r="41" spans="1:12" ht="13.5">
      <c r="A41" s="89">
        <v>40465</v>
      </c>
      <c r="B41" s="78">
        <v>0.3958333333333333</v>
      </c>
      <c r="C41" s="1">
        <v>727</v>
      </c>
      <c r="D41" s="1">
        <v>3</v>
      </c>
      <c r="E41" s="1">
        <v>46747.7</v>
      </c>
      <c r="F41" s="52">
        <f t="shared" si="1"/>
        <v>9.789999999999976</v>
      </c>
      <c r="G41" s="52">
        <f t="shared" si="2"/>
        <v>135.5933333333333</v>
      </c>
      <c r="H41" s="2">
        <f t="shared" si="7"/>
        <v>77.25000000000003</v>
      </c>
      <c r="I41" s="1">
        <v>3829.8</v>
      </c>
      <c r="J41" s="1">
        <v>53855.9</v>
      </c>
      <c r="L41" s="52">
        <f t="shared" si="5"/>
        <v>727.05</v>
      </c>
    </row>
    <row r="42" spans="1:12" ht="13.5">
      <c r="A42" s="89">
        <v>40469</v>
      </c>
      <c r="B42" s="78">
        <v>0.5604166666666667</v>
      </c>
      <c r="C42" s="1">
        <v>737</v>
      </c>
      <c r="D42" s="1">
        <v>24</v>
      </c>
      <c r="E42" s="1">
        <v>46798</v>
      </c>
      <c r="F42" s="52">
        <f t="shared" si="1"/>
        <v>11.385000000000026</v>
      </c>
      <c r="G42" s="52">
        <f t="shared" si="2"/>
        <v>146.97833333333332</v>
      </c>
      <c r="H42" s="2">
        <f t="shared" si="7"/>
        <v>65.86500000000001</v>
      </c>
      <c r="I42" s="1">
        <v>3975.7</v>
      </c>
      <c r="J42" s="1">
        <v>53201</v>
      </c>
      <c r="K42" t="s">
        <v>17</v>
      </c>
      <c r="L42" s="52">
        <f t="shared" si="5"/>
        <v>737.4</v>
      </c>
    </row>
    <row r="43" spans="1:12" ht="13.5">
      <c r="A43" s="89">
        <v>40470</v>
      </c>
      <c r="B43" s="78">
        <v>0.3611111111111111</v>
      </c>
      <c r="C43" s="1">
        <v>739</v>
      </c>
      <c r="D43" s="1">
        <v>49</v>
      </c>
      <c r="E43" s="1">
        <v>46818.3</v>
      </c>
      <c r="F43" s="52">
        <f t="shared" si="1"/>
        <v>2.6583333333334167</v>
      </c>
      <c r="G43" s="52">
        <f t="shared" si="2"/>
        <v>149.63666666666674</v>
      </c>
      <c r="H43" s="2">
        <f t="shared" si="7"/>
        <v>63.20666666666659</v>
      </c>
      <c r="I43" s="1">
        <v>4046.7</v>
      </c>
      <c r="J43" s="1">
        <v>53272.8</v>
      </c>
      <c r="L43" s="52">
        <f t="shared" si="5"/>
        <v>739.8166666666667</v>
      </c>
    </row>
    <row r="44" spans="1:12" ht="13.5">
      <c r="A44" s="89">
        <v>40471</v>
      </c>
      <c r="B44" s="78">
        <v>0.3611111111111111</v>
      </c>
      <c r="C44" s="1">
        <v>744</v>
      </c>
      <c r="D44" s="1">
        <v>19</v>
      </c>
      <c r="E44" s="1">
        <v>46958.4</v>
      </c>
      <c r="F44" s="52">
        <f t="shared" si="1"/>
        <v>4.95</v>
      </c>
      <c r="G44" s="52">
        <f t="shared" si="2"/>
        <v>154.58666666666673</v>
      </c>
      <c r="H44" s="2">
        <f t="shared" si="7"/>
        <v>58.25666666666659</v>
      </c>
      <c r="I44" s="1">
        <v>4163.7</v>
      </c>
      <c r="J44" s="1">
        <v>53389.8</v>
      </c>
      <c r="L44" s="52">
        <f t="shared" si="5"/>
        <v>744.3166666666667</v>
      </c>
    </row>
    <row r="45" spans="1:12" ht="13.5">
      <c r="A45" s="89">
        <v>40472</v>
      </c>
      <c r="B45" s="78">
        <v>0.3541666666666667</v>
      </c>
      <c r="C45" s="1">
        <v>748</v>
      </c>
      <c r="D45" s="1">
        <v>54</v>
      </c>
      <c r="E45" s="1">
        <v>47083.4</v>
      </c>
      <c r="F45" s="52">
        <f t="shared" si="1"/>
        <v>5.0416666666665835</v>
      </c>
      <c r="G45" s="52">
        <f t="shared" si="2"/>
        <v>159.6283333333333</v>
      </c>
      <c r="H45" s="2">
        <f t="shared" si="7"/>
        <v>53.215</v>
      </c>
      <c r="I45" s="1">
        <v>4289.8</v>
      </c>
      <c r="J45" s="1">
        <v>53515.9</v>
      </c>
      <c r="L45" s="52">
        <f t="shared" si="5"/>
        <v>748.9</v>
      </c>
    </row>
    <row r="46" spans="1:12" ht="13.5">
      <c r="A46" s="89">
        <v>40473</v>
      </c>
      <c r="B46" s="78">
        <v>0.3659722222222222</v>
      </c>
      <c r="C46" s="1">
        <v>752</v>
      </c>
      <c r="D46" s="1">
        <v>25</v>
      </c>
      <c r="E46" s="1">
        <v>47173.4</v>
      </c>
      <c r="F46" s="52">
        <f t="shared" si="1"/>
        <v>3.868333333333317</v>
      </c>
      <c r="G46" s="52">
        <f t="shared" si="2"/>
        <v>163.4966666666666</v>
      </c>
      <c r="H46" s="2">
        <f>(H45-F46)+32</f>
        <v>81.34666666666669</v>
      </c>
      <c r="I46" s="1">
        <v>4365.1</v>
      </c>
      <c r="J46" s="1">
        <v>53591.2</v>
      </c>
      <c r="K46" t="s">
        <v>18</v>
      </c>
      <c r="L46" s="52">
        <f t="shared" si="5"/>
        <v>752.4166666666666</v>
      </c>
    </row>
    <row r="47" spans="1:12" ht="13.5">
      <c r="A47" s="89">
        <v>40474</v>
      </c>
      <c r="B47" s="78">
        <v>0.3402777777777778</v>
      </c>
      <c r="C47" s="1">
        <v>756</v>
      </c>
      <c r="D47" s="1">
        <v>59</v>
      </c>
      <c r="E47" s="1">
        <v>47233.7</v>
      </c>
      <c r="F47" s="52">
        <f t="shared" si="1"/>
        <v>5.023333333333392</v>
      </c>
      <c r="G47" s="52">
        <f t="shared" si="2"/>
        <v>168.52</v>
      </c>
      <c r="H47" s="2">
        <f>(H46-F47)</f>
        <v>76.3233333333333</v>
      </c>
      <c r="I47" s="1">
        <v>4458.8</v>
      </c>
      <c r="J47" s="1">
        <v>53684.9</v>
      </c>
      <c r="L47" s="52">
        <f t="shared" si="5"/>
        <v>756.9833333333333</v>
      </c>
    </row>
    <row r="48" spans="1:12" ht="13.5">
      <c r="A48" s="89">
        <v>40475</v>
      </c>
      <c r="B48" s="78">
        <v>0.3819444444444444</v>
      </c>
      <c r="C48" s="1">
        <v>761</v>
      </c>
      <c r="D48" s="1">
        <v>8</v>
      </c>
      <c r="E48" s="1">
        <v>47368.7</v>
      </c>
      <c r="F48" s="52">
        <f t="shared" si="1"/>
        <v>4.5649999999999755</v>
      </c>
      <c r="G48" s="52">
        <f t="shared" si="2"/>
        <v>173.08499999999998</v>
      </c>
      <c r="H48" s="2">
        <f>(H47-F48)</f>
        <v>71.75833333333333</v>
      </c>
      <c r="I48" s="1">
        <v>4623.6</v>
      </c>
      <c r="J48" s="1">
        <v>53849.7</v>
      </c>
      <c r="L48" s="52">
        <f t="shared" si="5"/>
        <v>761.1333333333333</v>
      </c>
    </row>
  </sheetData>
  <printOptions gridLines="1"/>
  <pageMargins left="0.7" right="0.7" top="0.75" bottom="0.75" header="0.5118055555555555" footer="0.5118055555555555"/>
  <pageSetup horizontalDpi="300" verticalDpi="300" orientation="landscape" scale="56"/>
  <colBreaks count="1" manualBreakCount="1"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="90" zoomScaleNormal="90" zoomScaleSheetLayoutView="110" workbookViewId="0" topLeftCell="A1">
      <selection activeCell="A1" sqref="A1"/>
    </sheetView>
  </sheetViews>
  <sheetFormatPr defaultColWidth="8.7109375" defaultRowHeight="15"/>
  <cols>
    <col min="1" max="1" width="9.7109375" style="0" customWidth="1"/>
  </cols>
  <sheetData>
    <row r="1" spans="2:4" ht="13.5">
      <c r="B1" s="91" t="s">
        <v>19</v>
      </c>
      <c r="D1" t="s">
        <v>20</v>
      </c>
    </row>
    <row r="3" spans="1:3" ht="13.5">
      <c r="A3" t="s">
        <v>21</v>
      </c>
      <c r="B3" t="s">
        <v>22</v>
      </c>
      <c r="C3" t="s">
        <v>23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="90" zoomScaleNormal="90" zoomScaleSheetLayoutView="110" workbookViewId="0" topLeftCell="A1">
      <selection activeCell="A5" sqref="A5"/>
    </sheetView>
  </sheetViews>
  <sheetFormatPr defaultColWidth="8.7109375" defaultRowHeight="15"/>
  <cols>
    <col min="1" max="1" width="11.140625" style="0" customWidth="1"/>
    <col min="2" max="2" width="9.140625" style="0" customWidth="1"/>
    <col min="3" max="5" width="10.7109375" style="0" customWidth="1"/>
  </cols>
  <sheetData>
    <row r="1" spans="1:4" ht="13.5">
      <c r="A1" s="58"/>
      <c r="B1" s="81" t="s">
        <v>24</v>
      </c>
      <c r="C1" s="58"/>
      <c r="D1" s="58"/>
    </row>
    <row r="2" spans="1:4" ht="13.5">
      <c r="A2" s="58"/>
      <c r="B2" s="81"/>
      <c r="C2" s="58"/>
      <c r="D2" s="58"/>
    </row>
    <row r="3" spans="1:5" ht="13.5">
      <c r="A3" s="58"/>
      <c r="B3" s="58"/>
      <c r="C3" s="58" t="s">
        <v>25</v>
      </c>
      <c r="D3" s="58" t="s">
        <v>26</v>
      </c>
      <c r="E3" s="58" t="s">
        <v>27</v>
      </c>
    </row>
    <row r="4" spans="1:5" ht="13.5">
      <c r="A4" s="58" t="s">
        <v>21</v>
      </c>
      <c r="B4" s="58" t="s">
        <v>22</v>
      </c>
      <c r="C4" s="58" t="s">
        <v>28</v>
      </c>
      <c r="D4" s="58" t="s">
        <v>28</v>
      </c>
      <c r="E4" s="58" t="s">
        <v>28</v>
      </c>
    </row>
    <row r="5" spans="1:2" ht="13.5">
      <c r="A5" s="92"/>
      <c r="B5" s="93"/>
    </row>
    <row r="6" spans="1:2" ht="13.5">
      <c r="A6" s="94"/>
      <c r="B6" s="95"/>
    </row>
    <row r="7" spans="1:2" ht="13.5">
      <c r="A7" s="94"/>
      <c r="B7" s="95"/>
    </row>
    <row r="8" spans="1:2" ht="13.5">
      <c r="A8" s="92"/>
      <c r="B8" s="96"/>
    </row>
    <row r="9" spans="1:2" ht="13.5">
      <c r="A9" s="94"/>
      <c r="B9" s="95"/>
    </row>
    <row r="10" spans="1:2" ht="13.5">
      <c r="A10" s="94"/>
      <c r="B10" s="95"/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7"/>
  <sheetViews>
    <sheetView zoomScale="90" zoomScaleNormal="90" zoomScaleSheetLayoutView="110" workbookViewId="0" topLeftCell="A31">
      <selection activeCell="D48" sqref="D48"/>
    </sheetView>
  </sheetViews>
  <sheetFormatPr defaultColWidth="8.7109375" defaultRowHeight="15"/>
  <cols>
    <col min="1" max="1" width="17.00390625" style="0" customWidth="1"/>
    <col min="2" max="2" width="12.28125" style="0" customWidth="1"/>
    <col min="3" max="3" width="12.140625" style="0" customWidth="1"/>
  </cols>
  <sheetData>
    <row r="1" ht="13.5">
      <c r="A1" s="58" t="s">
        <v>29</v>
      </c>
    </row>
    <row r="2" spans="1:7" ht="13.5">
      <c r="A2" t="s">
        <v>30</v>
      </c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</row>
    <row r="3" spans="1:7" ht="13.5">
      <c r="A3">
        <v>4</v>
      </c>
      <c r="B3">
        <v>4</v>
      </c>
      <c r="C3">
        <v>25</v>
      </c>
      <c r="D3" s="52">
        <f aca="true" t="shared" si="0" ref="D3:D14">B3/C3</f>
        <v>0.16</v>
      </c>
      <c r="E3" s="52">
        <f aca="true" t="shared" si="1" ref="E3:E14">3.8*D3</f>
        <v>0.608</v>
      </c>
      <c r="F3">
        <v>8</v>
      </c>
      <c r="G3" s="52">
        <f aca="true" t="shared" si="2" ref="G3:G14">A3*3.8</f>
        <v>15.2</v>
      </c>
    </row>
    <row r="4" spans="1:7" ht="13.5">
      <c r="A4">
        <v>7</v>
      </c>
      <c r="B4">
        <v>3</v>
      </c>
      <c r="C4">
        <v>19</v>
      </c>
      <c r="D4" s="52">
        <f t="shared" si="0"/>
        <v>0.15789473684210525</v>
      </c>
      <c r="E4" s="52">
        <f t="shared" si="1"/>
        <v>0.6</v>
      </c>
      <c r="F4">
        <v>11</v>
      </c>
      <c r="G4" s="52">
        <f t="shared" si="2"/>
        <v>26.599999999999998</v>
      </c>
    </row>
    <row r="5" spans="1:7" ht="13.5">
      <c r="A5">
        <v>10</v>
      </c>
      <c r="B5">
        <v>3</v>
      </c>
      <c r="C5">
        <v>18</v>
      </c>
      <c r="D5" s="52">
        <f t="shared" si="0"/>
        <v>0.16666666666666666</v>
      </c>
      <c r="E5" s="52">
        <f t="shared" si="1"/>
        <v>0.6333333333333333</v>
      </c>
      <c r="F5">
        <v>13.5</v>
      </c>
      <c r="G5" s="52">
        <f t="shared" si="2"/>
        <v>38</v>
      </c>
    </row>
    <row r="6" spans="1:7" ht="13.5">
      <c r="A6">
        <v>14</v>
      </c>
      <c r="B6">
        <v>4</v>
      </c>
      <c r="C6">
        <v>23</v>
      </c>
      <c r="D6" s="52">
        <f t="shared" si="0"/>
        <v>0.17391304347826086</v>
      </c>
      <c r="E6" s="52">
        <f t="shared" si="1"/>
        <v>0.6608695652173913</v>
      </c>
      <c r="F6">
        <v>16.5</v>
      </c>
      <c r="G6" s="52">
        <f t="shared" si="2"/>
        <v>53.199999999999996</v>
      </c>
    </row>
    <row r="7" spans="1:7" ht="13.5">
      <c r="A7">
        <v>18</v>
      </c>
      <c r="B7">
        <v>4</v>
      </c>
      <c r="C7">
        <v>23</v>
      </c>
      <c r="D7" s="52">
        <f t="shared" si="0"/>
        <v>0.17391304347826086</v>
      </c>
      <c r="E7" s="52">
        <f t="shared" si="1"/>
        <v>0.6608695652173913</v>
      </c>
      <c r="F7">
        <v>20</v>
      </c>
      <c r="G7" s="52">
        <f t="shared" si="2"/>
        <v>68.39999999999999</v>
      </c>
    </row>
    <row r="8" spans="1:7" ht="13.5">
      <c r="A8">
        <v>22</v>
      </c>
      <c r="B8">
        <v>4</v>
      </c>
      <c r="C8">
        <v>23</v>
      </c>
      <c r="D8" s="52">
        <f t="shared" si="0"/>
        <v>0.17391304347826086</v>
      </c>
      <c r="E8" s="52">
        <f t="shared" si="1"/>
        <v>0.6608695652173913</v>
      </c>
      <c r="F8">
        <v>24</v>
      </c>
      <c r="G8" s="52">
        <f t="shared" si="2"/>
        <v>83.6</v>
      </c>
    </row>
    <row r="9" spans="1:7" ht="13.5">
      <c r="A9">
        <v>28</v>
      </c>
      <c r="B9">
        <v>6</v>
      </c>
      <c r="C9">
        <v>37</v>
      </c>
      <c r="D9" s="52">
        <f t="shared" si="0"/>
        <v>0.16216216216216217</v>
      </c>
      <c r="E9" s="52">
        <f t="shared" si="1"/>
        <v>0.6162162162162163</v>
      </c>
      <c r="F9">
        <v>29.5</v>
      </c>
      <c r="G9" s="52">
        <f t="shared" si="2"/>
        <v>106.39999999999999</v>
      </c>
    </row>
    <row r="10" spans="1:7" ht="13.5">
      <c r="A10">
        <v>30</v>
      </c>
      <c r="B10">
        <v>2</v>
      </c>
      <c r="C10">
        <v>12</v>
      </c>
      <c r="D10" s="52">
        <f t="shared" si="0"/>
        <v>0.16666666666666666</v>
      </c>
      <c r="E10" s="52">
        <f t="shared" si="1"/>
        <v>0.6333333333333333</v>
      </c>
      <c r="F10">
        <v>31</v>
      </c>
      <c r="G10" s="52">
        <f t="shared" si="2"/>
        <v>114</v>
      </c>
    </row>
    <row r="11" spans="1:7" ht="13.5">
      <c r="A11">
        <v>34</v>
      </c>
      <c r="B11">
        <v>4</v>
      </c>
      <c r="C11">
        <v>24</v>
      </c>
      <c r="D11" s="52">
        <f t="shared" si="0"/>
        <v>0.16666666666666666</v>
      </c>
      <c r="E11" s="52">
        <f t="shared" si="1"/>
        <v>0.6333333333333333</v>
      </c>
      <c r="F11">
        <v>36</v>
      </c>
      <c r="G11" s="52">
        <f t="shared" si="2"/>
        <v>129.2</v>
      </c>
    </row>
    <row r="12" spans="1:7" ht="13.5">
      <c r="A12">
        <v>35</v>
      </c>
      <c r="B12">
        <v>1</v>
      </c>
      <c r="C12">
        <v>6</v>
      </c>
      <c r="D12" s="52">
        <f t="shared" si="0"/>
        <v>0.16666666666666666</v>
      </c>
      <c r="E12" s="52">
        <f t="shared" si="1"/>
        <v>0.6333333333333333</v>
      </c>
      <c r="F12">
        <v>37.5</v>
      </c>
      <c r="G12" s="52">
        <f t="shared" si="2"/>
        <v>133</v>
      </c>
    </row>
    <row r="13" spans="1:7" ht="13.5">
      <c r="A13">
        <v>36</v>
      </c>
      <c r="B13">
        <v>1</v>
      </c>
      <c r="C13">
        <v>6</v>
      </c>
      <c r="D13" s="52">
        <f t="shared" si="0"/>
        <v>0.16666666666666666</v>
      </c>
      <c r="E13" s="52">
        <f t="shared" si="1"/>
        <v>0.6333333333333333</v>
      </c>
      <c r="F13">
        <v>39</v>
      </c>
      <c r="G13" s="52">
        <f t="shared" si="2"/>
        <v>136.79999999999998</v>
      </c>
    </row>
    <row r="14" spans="1:7" ht="13.5">
      <c r="A14">
        <v>37</v>
      </c>
      <c r="B14">
        <v>1</v>
      </c>
      <c r="C14">
        <v>6</v>
      </c>
      <c r="D14" s="52">
        <f t="shared" si="0"/>
        <v>0.16666666666666666</v>
      </c>
      <c r="E14" s="52">
        <f t="shared" si="1"/>
        <v>0.6333333333333333</v>
      </c>
      <c r="F14">
        <v>40</v>
      </c>
      <c r="G14" s="52">
        <f t="shared" si="2"/>
        <v>140.6</v>
      </c>
    </row>
    <row r="15" spans="2:6" ht="13.5">
      <c r="B15" s="58" t="s">
        <v>37</v>
      </c>
      <c r="C15" s="58"/>
      <c r="D15" s="58">
        <f>AVERAGE(D3:D14)</f>
        <v>0.1668163357865875</v>
      </c>
      <c r="E15" s="58">
        <f>AVERAGE(E3:E14)</f>
        <v>0.6339020759890324</v>
      </c>
      <c r="F15" s="58"/>
    </row>
    <row r="16" spans="1:9" ht="13.5">
      <c r="A16" s="97" t="s">
        <v>38</v>
      </c>
      <c r="B16" s="58"/>
      <c r="D16" s="58"/>
      <c r="E16" s="58"/>
      <c r="F16" s="81" t="s">
        <v>39</v>
      </c>
      <c r="G16" s="76">
        <f>(G14-G3)/(F14-F3)</f>
        <v>3.9187499999999997</v>
      </c>
      <c r="H16" t="s">
        <v>40</v>
      </c>
      <c r="I16" s="52"/>
    </row>
    <row r="17" spans="1:8" ht="13.5">
      <c r="A17" t="s">
        <v>41</v>
      </c>
      <c r="B17" s="58"/>
      <c r="C17" s="58"/>
      <c r="D17" s="58"/>
      <c r="E17" s="58"/>
      <c r="F17" s="58"/>
      <c r="G17" s="52">
        <f>G16/3.78</f>
        <v>1.036706349206349</v>
      </c>
      <c r="H17" t="s">
        <v>42</v>
      </c>
    </row>
    <row r="18" spans="1:6" ht="13.5">
      <c r="A18" t="s">
        <v>43</v>
      </c>
      <c r="B18" s="58"/>
      <c r="C18" s="58"/>
      <c r="D18" s="58"/>
      <c r="E18" s="58"/>
      <c r="F18" s="58"/>
    </row>
    <row r="20" ht="13.5">
      <c r="A20" s="58" t="s">
        <v>44</v>
      </c>
    </row>
    <row r="21" ht="13.5">
      <c r="A21" t="s">
        <v>45</v>
      </c>
    </row>
    <row r="22" ht="13.5">
      <c r="A22" t="s">
        <v>46</v>
      </c>
    </row>
    <row r="23" ht="13.5">
      <c r="A23" t="s">
        <v>47</v>
      </c>
    </row>
    <row r="25" spans="1:3" ht="13.5">
      <c r="A25" t="s">
        <v>48</v>
      </c>
      <c r="B25" t="s">
        <v>49</v>
      </c>
      <c r="C25" t="s">
        <v>50</v>
      </c>
    </row>
    <row r="26" spans="1:3" ht="13.5">
      <c r="A26">
        <v>5</v>
      </c>
      <c r="B26">
        <v>7.5</v>
      </c>
      <c r="C26" s="52">
        <f aca="true" t="shared" si="3" ref="C26:C44">A26*3.785</f>
        <v>18.925</v>
      </c>
    </row>
    <row r="27" spans="1:3" ht="13.5">
      <c r="A27">
        <v>10</v>
      </c>
      <c r="B27">
        <v>9.5</v>
      </c>
      <c r="C27" s="52">
        <f t="shared" si="3"/>
        <v>37.85</v>
      </c>
    </row>
    <row r="28" spans="1:3" ht="13.5">
      <c r="A28">
        <v>15</v>
      </c>
      <c r="B28">
        <v>11</v>
      </c>
      <c r="C28" s="52">
        <f t="shared" si="3"/>
        <v>56.775000000000006</v>
      </c>
    </row>
    <row r="29" spans="1:3" ht="13.5">
      <c r="A29">
        <v>20</v>
      </c>
      <c r="B29">
        <v>13</v>
      </c>
      <c r="C29" s="52">
        <f t="shared" si="3"/>
        <v>75.7</v>
      </c>
    </row>
    <row r="30" spans="1:3" ht="13.5">
      <c r="A30">
        <v>30</v>
      </c>
      <c r="B30">
        <v>17</v>
      </c>
      <c r="C30" s="52">
        <f t="shared" si="3"/>
        <v>113.55000000000001</v>
      </c>
    </row>
    <row r="31" spans="1:3" ht="13.5">
      <c r="A31">
        <v>40</v>
      </c>
      <c r="B31">
        <v>22</v>
      </c>
      <c r="C31" s="52">
        <f t="shared" si="3"/>
        <v>151.4</v>
      </c>
    </row>
    <row r="32" spans="1:3" ht="13.5">
      <c r="A32">
        <v>50</v>
      </c>
      <c r="B32">
        <v>24</v>
      </c>
      <c r="C32" s="52">
        <f t="shared" si="3"/>
        <v>189.25</v>
      </c>
    </row>
    <row r="33" spans="1:19" ht="13.5">
      <c r="A33">
        <v>60</v>
      </c>
      <c r="B33">
        <v>27.5</v>
      </c>
      <c r="C33" s="52">
        <f t="shared" si="3"/>
        <v>227.10000000000002</v>
      </c>
      <c r="S33" t="s">
        <v>127</v>
      </c>
    </row>
    <row r="34" spans="1:3" ht="13.5">
      <c r="A34">
        <v>70</v>
      </c>
      <c r="B34">
        <v>30</v>
      </c>
      <c r="C34" s="52">
        <f t="shared" si="3"/>
        <v>264.95</v>
      </c>
    </row>
    <row r="35" spans="1:3" ht="13.5">
      <c r="A35">
        <v>80</v>
      </c>
      <c r="B35">
        <v>33</v>
      </c>
      <c r="C35" s="52">
        <f t="shared" si="3"/>
        <v>302.8</v>
      </c>
    </row>
    <row r="36" spans="1:3" ht="13.5">
      <c r="A36">
        <v>90</v>
      </c>
      <c r="B36">
        <v>38</v>
      </c>
      <c r="C36" s="52">
        <f t="shared" si="3"/>
        <v>340.65000000000003</v>
      </c>
    </row>
    <row r="37" spans="1:19" ht="13.5">
      <c r="A37">
        <v>100</v>
      </c>
      <c r="B37">
        <v>41</v>
      </c>
      <c r="C37" s="52">
        <f t="shared" si="3"/>
        <v>378.5</v>
      </c>
      <c r="H37" t="s">
        <v>127</v>
      </c>
      <c r="S37" t="s">
        <v>127</v>
      </c>
    </row>
    <row r="38" spans="1:3" ht="13.5">
      <c r="A38">
        <v>110</v>
      </c>
      <c r="B38">
        <v>45</v>
      </c>
      <c r="C38" s="52">
        <f t="shared" si="3"/>
        <v>416.35</v>
      </c>
    </row>
    <row r="39" spans="1:3" ht="13.5">
      <c r="A39">
        <v>120</v>
      </c>
      <c r="B39">
        <v>48</v>
      </c>
      <c r="C39" s="52">
        <f t="shared" si="3"/>
        <v>454.20000000000005</v>
      </c>
    </row>
    <row r="40" spans="1:3" ht="13.5">
      <c r="A40">
        <v>130</v>
      </c>
      <c r="B40">
        <v>51.5</v>
      </c>
      <c r="C40" s="52">
        <f t="shared" si="3"/>
        <v>492.05</v>
      </c>
    </row>
    <row r="41" spans="1:3" ht="13.5">
      <c r="A41">
        <v>140</v>
      </c>
      <c r="B41">
        <v>55</v>
      </c>
      <c r="C41" s="52">
        <f t="shared" si="3"/>
        <v>529.9</v>
      </c>
    </row>
    <row r="42" spans="1:3" ht="13.5">
      <c r="A42">
        <v>150</v>
      </c>
      <c r="B42">
        <v>58</v>
      </c>
      <c r="C42" s="52">
        <f t="shared" si="3"/>
        <v>567.75</v>
      </c>
    </row>
    <row r="43" spans="1:3" ht="13.5">
      <c r="A43">
        <v>160</v>
      </c>
      <c r="B43">
        <v>61</v>
      </c>
      <c r="C43" s="52">
        <f t="shared" si="3"/>
        <v>605.6</v>
      </c>
    </row>
    <row r="44" spans="1:3" ht="13.5">
      <c r="A44">
        <v>166.7</v>
      </c>
      <c r="B44">
        <v>63</v>
      </c>
      <c r="C44" s="52">
        <f t="shared" si="3"/>
        <v>630.9594999999999</v>
      </c>
    </row>
    <row r="45" spans="1:4" ht="13.5">
      <c r="A45" s="80" t="s">
        <v>51</v>
      </c>
      <c r="B45" s="76">
        <f>(C43-C26)/(B43-B26)</f>
        <v>10.965887850467292</v>
      </c>
      <c r="C45" t="s">
        <v>40</v>
      </c>
      <c r="D45" s="52"/>
    </row>
    <row r="46" spans="1:4" ht="13.5">
      <c r="A46" s="80" t="s">
        <v>61</v>
      </c>
      <c r="B46" s="98" t="s">
        <v>52</v>
      </c>
      <c r="C46" t="s">
        <v>70</v>
      </c>
      <c r="D46" s="52"/>
    </row>
    <row r="47" spans="1:3" ht="13.5">
      <c r="A47" t="s">
        <v>53</v>
      </c>
      <c r="B47" s="52">
        <f>A44*3.785</f>
        <v>630.9594999999999</v>
      </c>
      <c r="C47" t="s">
        <v>70</v>
      </c>
    </row>
  </sheetData>
  <printOptions gridLines="1"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SheetLayoutView="110" workbookViewId="0" topLeftCell="A1">
      <selection activeCell="G7" sqref="G7"/>
    </sheetView>
  </sheetViews>
  <sheetFormatPr defaultColWidth="11.57421875" defaultRowHeight="15"/>
  <cols>
    <col min="1" max="16384" width="11.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