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1475" windowHeight="8220"/>
  </bookViews>
  <sheets>
    <sheet name="Sheet4" sheetId="4" r:id="rId1"/>
    <sheet name="Sheet3" sheetId="3" r:id="rId2"/>
    <sheet name="Sheet1" sheetId="1" r:id="rId3"/>
    <sheet name="Sheet2" sheetId="2" r:id="rId4"/>
  </sheets>
  <definedNames>
    <definedName name="_xlnm._FilterDatabase" localSheetId="0" hidden="1">Sheet4!$G$1:$G$155</definedName>
  </definedNames>
  <calcPr calcId="125725" concurrentCalc="0"/>
</workbook>
</file>

<file path=xl/calcChain.xml><?xml version="1.0" encoding="utf-8"?>
<calcChain xmlns="http://schemas.openxmlformats.org/spreadsheetml/2006/main">
  <c r="O46" i="4"/>
  <c r="O45"/>
  <c r="O44"/>
  <c r="O43"/>
  <c r="O42"/>
  <c r="O38"/>
  <c r="O37"/>
  <c r="O36"/>
  <c r="O35"/>
  <c r="O34"/>
  <c r="O31"/>
  <c r="O30"/>
  <c r="O29"/>
  <c r="O28"/>
  <c r="O27"/>
  <c r="O7"/>
  <c r="O6"/>
  <c r="O5"/>
  <c r="O4"/>
  <c r="O3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2"/>
  <c r="L200"/>
  <c r="R22"/>
  <c r="R21"/>
  <c r="R20"/>
  <c r="R19"/>
  <c r="R18"/>
  <c r="S14"/>
  <c r="S13"/>
  <c r="S12"/>
  <c r="S11"/>
  <c r="S10"/>
  <c r="O14"/>
  <c r="O13"/>
  <c r="O12"/>
  <c r="O11"/>
  <c r="O10"/>
  <c r="B228"/>
  <c r="B227"/>
  <c r="B226"/>
  <c r="B225"/>
  <c r="B224"/>
  <c r="B221"/>
  <c r="B220"/>
  <c r="B219"/>
  <c r="B218"/>
  <c r="B217"/>
  <c r="B213"/>
  <c r="B212"/>
  <c r="B211"/>
  <c r="B195"/>
  <c r="B210"/>
  <c r="B209"/>
  <c r="C204"/>
  <c r="C203"/>
  <c r="C202"/>
  <c r="C201"/>
  <c r="C200"/>
  <c r="B197"/>
  <c r="B196"/>
  <c r="B194"/>
  <c r="B193"/>
  <c r="C171"/>
  <c r="C170"/>
  <c r="C169"/>
  <c r="C168"/>
  <c r="C167"/>
  <c r="C163"/>
  <c r="C162"/>
  <c r="F99"/>
  <c r="C161"/>
  <c r="C160"/>
  <c r="C159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F143"/>
  <c r="F144"/>
  <c r="F145"/>
  <c r="F146"/>
  <c r="F147"/>
  <c r="F148"/>
  <c r="F149"/>
  <c r="F150"/>
  <c r="F151"/>
  <c r="F152"/>
  <c r="F153"/>
  <c r="F154"/>
  <c r="F155"/>
  <c r="F142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F112"/>
  <c r="F113"/>
  <c r="F114"/>
  <c r="F115"/>
  <c r="F116"/>
  <c r="F117"/>
  <c r="F118"/>
  <c r="F119"/>
  <c r="F36"/>
  <c r="H36"/>
  <c r="F35"/>
  <c r="H35"/>
  <c r="F34"/>
  <c r="H34"/>
  <c r="F33"/>
  <c r="H33"/>
  <c r="F32"/>
  <c r="H32"/>
  <c r="F97"/>
  <c r="H111"/>
  <c r="H110"/>
  <c r="H109"/>
  <c r="H108"/>
  <c r="H106"/>
  <c r="H107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8"/>
  <c r="F100"/>
  <c r="F101"/>
  <c r="F102"/>
  <c r="F103"/>
  <c r="F104"/>
  <c r="F105"/>
  <c r="F106"/>
  <c r="F107"/>
  <c r="F108"/>
  <c r="F109"/>
  <c r="F110"/>
  <c r="F111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L2"/>
  <c r="L40"/>
  <c r="H40"/>
  <c r="H39"/>
  <c r="H38"/>
  <c r="H37"/>
  <c r="H31"/>
  <c r="H30"/>
  <c r="H29"/>
  <c r="H28"/>
  <c r="H27"/>
  <c r="H26"/>
  <c r="H25"/>
  <c r="H24"/>
  <c r="H23"/>
  <c r="H22"/>
  <c r="H21"/>
  <c r="H20"/>
  <c r="H19"/>
  <c r="H18"/>
  <c r="H14"/>
  <c r="H17"/>
  <c r="H16"/>
  <c r="H15"/>
  <c r="H13"/>
  <c r="H12"/>
  <c r="H11"/>
  <c r="H10"/>
  <c r="H9"/>
  <c r="H8"/>
  <c r="H7"/>
  <c r="H6"/>
  <c r="H5"/>
  <c r="H4"/>
  <c r="H3"/>
  <c r="H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7"/>
  <c r="F38"/>
  <c r="F39"/>
  <c r="F2"/>
  <c r="I17" i="1"/>
  <c r="I16"/>
  <c r="J9"/>
  <c r="J8"/>
  <c r="J7"/>
  <c r="J5"/>
  <c r="J6"/>
  <c r="J3"/>
  <c r="J4"/>
  <c r="J2"/>
  <c r="F3"/>
  <c r="F10"/>
  <c r="F11"/>
  <c r="F12"/>
  <c r="F13"/>
  <c r="F14"/>
  <c r="F15"/>
  <c r="F16"/>
  <c r="F17"/>
  <c r="F18"/>
  <c r="F19"/>
  <c r="F20"/>
  <c r="F21"/>
  <c r="F22"/>
  <c r="F23"/>
  <c r="F24"/>
  <c r="F25"/>
  <c r="E3"/>
  <c r="E4"/>
  <c r="F4"/>
  <c r="E5"/>
  <c r="F5"/>
  <c r="E6"/>
  <c r="F6"/>
  <c r="E7"/>
  <c r="F7"/>
  <c r="E8"/>
  <c r="F8"/>
  <c r="E9"/>
  <c r="F9"/>
  <c r="E10"/>
  <c r="E11"/>
  <c r="E12"/>
  <c r="E13"/>
  <c r="E14"/>
  <c r="E15"/>
  <c r="E16"/>
  <c r="E17"/>
  <c r="E18"/>
  <c r="E19"/>
  <c r="E20"/>
  <c r="E21"/>
  <c r="E22"/>
  <c r="E23"/>
  <c r="E24"/>
  <c r="E25"/>
  <c r="C2"/>
  <c r="F2"/>
  <c r="E2"/>
  <c r="D2"/>
  <c r="G19" i="2"/>
  <c r="E20"/>
  <c r="E21"/>
  <c r="E22"/>
  <c r="E23"/>
  <c r="E24"/>
  <c r="E25"/>
  <c r="E26"/>
  <c r="E27"/>
  <c r="E28"/>
  <c r="E29"/>
  <c r="E30"/>
  <c r="E31"/>
  <c r="E32"/>
  <c r="E33"/>
  <c r="E34"/>
  <c r="E35"/>
  <c r="F20"/>
  <c r="F21"/>
  <c r="F22"/>
  <c r="F23"/>
  <c r="F24"/>
  <c r="F25"/>
  <c r="F26"/>
  <c r="F27"/>
  <c r="F28"/>
  <c r="F29"/>
  <c r="F30"/>
  <c r="F31"/>
  <c r="F32"/>
  <c r="F33"/>
  <c r="F34"/>
  <c r="F35"/>
  <c r="E19"/>
  <c r="F19"/>
  <c r="G14"/>
  <c r="G12"/>
  <c r="G10"/>
  <c r="G9"/>
  <c r="G8"/>
  <c r="G5"/>
  <c r="G2"/>
  <c r="E3"/>
  <c r="F3"/>
  <c r="E4"/>
  <c r="E5"/>
  <c r="E6"/>
  <c r="E7"/>
  <c r="E8"/>
  <c r="E9"/>
  <c r="E10"/>
  <c r="E11"/>
  <c r="E12"/>
  <c r="E13"/>
  <c r="E14"/>
  <c r="E15"/>
  <c r="E16"/>
  <c r="F4"/>
  <c r="F5"/>
  <c r="F6"/>
  <c r="F7"/>
  <c r="F8"/>
  <c r="F9"/>
  <c r="F10"/>
  <c r="F11"/>
  <c r="F12"/>
  <c r="F13"/>
  <c r="F14"/>
  <c r="F15"/>
  <c r="F16"/>
  <c r="E2"/>
  <c r="F2"/>
</calcChain>
</file>

<file path=xl/sharedStrings.xml><?xml version="1.0" encoding="utf-8"?>
<sst xmlns="http://schemas.openxmlformats.org/spreadsheetml/2006/main" count="550" uniqueCount="233">
  <si>
    <t>File</t>
  </si>
  <si>
    <t>Behavior State</t>
  </si>
  <si>
    <t>CRT_A10_01</t>
  </si>
  <si>
    <t>CRT_A10_03</t>
  </si>
  <si>
    <t>Pod Size</t>
  </si>
  <si>
    <t>Orientation</t>
  </si>
  <si>
    <t>Date</t>
  </si>
  <si>
    <t>Click train</t>
  </si>
  <si>
    <t>Sample</t>
  </si>
  <si>
    <t>Seconds</t>
  </si>
  <si>
    <t>Click nrate</t>
  </si>
  <si>
    <t>CRT_A10_07</t>
  </si>
  <si>
    <t>CRT_A10_08</t>
  </si>
  <si>
    <t>CRT_A10_09</t>
  </si>
  <si>
    <t>CRT_A10_10</t>
  </si>
  <si>
    <t>Average</t>
  </si>
  <si>
    <t>CRT_A11_01</t>
  </si>
  <si>
    <t>CRT_A11_02</t>
  </si>
  <si>
    <t>**50.484 to 51.412. different spacing--different whales?</t>
  </si>
  <si>
    <t>Click Train</t>
  </si>
  <si>
    <t>CRT_A20_01</t>
  </si>
  <si>
    <t>Click train rate</t>
  </si>
  <si>
    <t>Single click rate</t>
  </si>
  <si>
    <t>Combined click rate</t>
  </si>
  <si>
    <t>CRT_A20_31</t>
  </si>
  <si>
    <t>Travelling</t>
  </si>
  <si>
    <t>9,10</t>
  </si>
  <si>
    <t>Ambient Noise (dB)</t>
  </si>
  <si>
    <t>Controlled click rate</t>
  </si>
  <si>
    <t>CRT_A20_32</t>
  </si>
  <si>
    <t>CRT_A20_33</t>
  </si>
  <si>
    <t>CRT_A20_34</t>
  </si>
  <si>
    <t>CRT_A20_35</t>
  </si>
  <si>
    <t>CRT_A20_36</t>
  </si>
  <si>
    <t>5,6,7</t>
  </si>
  <si>
    <t>CRT_A20_56</t>
  </si>
  <si>
    <t>Foraging</t>
  </si>
  <si>
    <t>10,5</t>
  </si>
  <si>
    <t>CRT_A20_57</t>
  </si>
  <si>
    <t>CRT_</t>
  </si>
  <si>
    <t>Behavior</t>
  </si>
  <si>
    <t>Hana's count</t>
  </si>
  <si>
    <t>CRT_A20_58</t>
  </si>
  <si>
    <t>CRT_A31_42</t>
  </si>
  <si>
    <t>CRT_A18_00</t>
  </si>
  <si>
    <t>CRT_A32_29</t>
  </si>
  <si>
    <t>CRT_A31_03</t>
  </si>
  <si>
    <t>CRT_A34_05</t>
  </si>
  <si>
    <t>lots of electrical noise, sonar? Excluded due to signal to noise ratio</t>
  </si>
  <si>
    <t>CRT_A31_02</t>
  </si>
  <si>
    <t>Counted rate</t>
  </si>
  <si>
    <t>Controlled rate</t>
  </si>
  <si>
    <t>Threshold (mV)</t>
  </si>
  <si>
    <t xml:space="preserve">Behavior </t>
  </si>
  <si>
    <t>Ambient noise (dB)</t>
  </si>
  <si>
    <t>Val's count @ 47</t>
  </si>
  <si>
    <t>V count @ 90</t>
  </si>
  <si>
    <t xml:space="preserve"> Threshold (mV)</t>
  </si>
  <si>
    <t xml:space="preserve"> CRT_A20_32</t>
  </si>
  <si>
    <t>CRT_A20_37</t>
  </si>
  <si>
    <t>CRT_A20_38</t>
  </si>
  <si>
    <t>CRT_A20_39</t>
  </si>
  <si>
    <t>CRT_A20_40</t>
  </si>
  <si>
    <t>CRT_A20_41</t>
  </si>
  <si>
    <t>CRT_A20_42</t>
  </si>
  <si>
    <t>CRT_A20_43</t>
  </si>
  <si>
    <t>CRT_A20_44</t>
  </si>
  <si>
    <t>CRT_A20_45</t>
  </si>
  <si>
    <t>CRT_A20_46</t>
  </si>
  <si>
    <t>CRT_A20_47</t>
  </si>
  <si>
    <t>CRT_A20_48</t>
  </si>
  <si>
    <t>CRT_A20_49</t>
  </si>
  <si>
    <t>CRT_A20_50</t>
  </si>
  <si>
    <t>CRT_A20_51</t>
  </si>
  <si>
    <t>CRT_A20_52</t>
  </si>
  <si>
    <t>CRT_A20_53</t>
  </si>
  <si>
    <t>CRT_A20_54</t>
  </si>
  <si>
    <t>CRT_A20_55</t>
  </si>
  <si>
    <t>CRT_A20_59</t>
  </si>
  <si>
    <t>CRT_A20_60</t>
  </si>
  <si>
    <t># Click Trains</t>
  </si>
  <si>
    <t>CRT_A20_66</t>
  </si>
  <si>
    <t>CRT_A20_67</t>
  </si>
  <si>
    <t>CRT_A20_68</t>
  </si>
  <si>
    <t>Traveling</t>
  </si>
  <si>
    <t>CRT_A31_00</t>
  </si>
  <si>
    <t>SNR</t>
  </si>
  <si>
    <t>CRT_A31_01</t>
  </si>
  <si>
    <t>CRT_A31_04</t>
  </si>
  <si>
    <t>CRT_A31_05</t>
  </si>
  <si>
    <t>CRT_A31_08</t>
  </si>
  <si>
    <t>CRT_A31_09</t>
  </si>
  <si>
    <t>CRT_A31_10</t>
  </si>
  <si>
    <t>CRT_A31_11</t>
  </si>
  <si>
    <t>CRT_A31_12</t>
  </si>
  <si>
    <t>CRT_A31_13</t>
  </si>
  <si>
    <t>CRT_A31_24</t>
  </si>
  <si>
    <t>CRT_A31_25</t>
  </si>
  <si>
    <t>CRT_A31_26</t>
  </si>
  <si>
    <t>CRT_A31_27</t>
  </si>
  <si>
    <t>CRT_A31_28</t>
  </si>
  <si>
    <t>CRT_A31_29</t>
  </si>
  <si>
    <t>CRT_A31_30</t>
  </si>
  <si>
    <t>CRT_A31_31</t>
  </si>
  <si>
    <t>CRT_A31_32</t>
  </si>
  <si>
    <t>CRT_A31_33</t>
  </si>
  <si>
    <t>CRT_A31_34</t>
  </si>
  <si>
    <t>CRT_A31_35</t>
  </si>
  <si>
    <t>CRT_A31_36</t>
  </si>
  <si>
    <t>CRT_A31_37</t>
  </si>
  <si>
    <t>CRT_A31_38</t>
  </si>
  <si>
    <t>CRT_A31_41</t>
  </si>
  <si>
    <t>CRT_A31_43</t>
  </si>
  <si>
    <t>CRT_A31_44</t>
  </si>
  <si>
    <t>CRT_A31_45</t>
  </si>
  <si>
    <t>Milling</t>
  </si>
  <si>
    <t>CRT_A32_00</t>
  </si>
  <si>
    <t>CRT_A32_01</t>
  </si>
  <si>
    <t>CRT_A32_02</t>
  </si>
  <si>
    <t>CRT_A32_03</t>
  </si>
  <si>
    <t>CRT_A32_04</t>
  </si>
  <si>
    <t>CRT_A32_09</t>
  </si>
  <si>
    <t>CRT_A32_10</t>
  </si>
  <si>
    <t>CRT_A32_11</t>
  </si>
  <si>
    <t>CRT_A32_12</t>
  </si>
  <si>
    <t>CRT_A32_13</t>
  </si>
  <si>
    <t>CRT_A32_14</t>
  </si>
  <si>
    <t>CRT_A32_15</t>
  </si>
  <si>
    <t>CRT_A32_16</t>
  </si>
  <si>
    <t>CRT_A32_17</t>
  </si>
  <si>
    <t>CRT_A32_18</t>
  </si>
  <si>
    <t>CRT_A32_19</t>
  </si>
  <si>
    <t>by hand</t>
  </si>
  <si>
    <t>CRT_A34_00</t>
  </si>
  <si>
    <t>CRT_A34_01</t>
  </si>
  <si>
    <t>CRT_A34_02</t>
  </si>
  <si>
    <t>CRT_A34_03</t>
  </si>
  <si>
    <t>CRT_A34_04</t>
  </si>
  <si>
    <t>CRT_A34_06</t>
  </si>
  <si>
    <t>CRT_A34_07</t>
  </si>
  <si>
    <t>CRT_A34_08</t>
  </si>
  <si>
    <t>CRT_A37_16</t>
  </si>
  <si>
    <t>CRT_A37_17</t>
  </si>
  <si>
    <t>CRT_A37_18</t>
  </si>
  <si>
    <t>CRT_A37_19</t>
  </si>
  <si>
    <t>CRT_A37_20</t>
  </si>
  <si>
    <t>CRT_A37_51</t>
  </si>
  <si>
    <t>CRT_A37_52</t>
  </si>
  <si>
    <t>CRT_A37_53</t>
  </si>
  <si>
    <t>CRT_A37_54</t>
  </si>
  <si>
    <t>CRT_A37_55</t>
  </si>
  <si>
    <t>CRT_A37_56</t>
  </si>
  <si>
    <t>CRT_A37_57</t>
  </si>
  <si>
    <t>CRT_A37_58</t>
  </si>
  <si>
    <t>CRT_A37_59</t>
  </si>
  <si>
    <t>CRT_A37_60</t>
  </si>
  <si>
    <t>CRT_A20_61</t>
  </si>
  <si>
    <t>CRT_A20_62</t>
  </si>
  <si>
    <t>CRT_A20_63</t>
  </si>
  <si>
    <t>CRT_A20_64</t>
  </si>
  <si>
    <t>CRT_A20_65</t>
  </si>
  <si>
    <t>Socializing</t>
  </si>
  <si>
    <t>CRT_A36_07</t>
  </si>
  <si>
    <t>CRT_A36_08</t>
  </si>
  <si>
    <t>CRT_A36_09</t>
  </si>
  <si>
    <t>CRT_A36_10</t>
  </si>
  <si>
    <t>CRT_A36_11</t>
  </si>
  <si>
    <t>CRT_A36_12</t>
  </si>
  <si>
    <t>CRT_A36_13</t>
  </si>
  <si>
    <t>CRT_A36_14</t>
  </si>
  <si>
    <t>CRT_A36_15</t>
  </si>
  <si>
    <t>CRT_A36_16</t>
  </si>
  <si>
    <t>CRT_A36_17</t>
  </si>
  <si>
    <t>CRT_A36_18</t>
  </si>
  <si>
    <t>CRT_A36_19</t>
  </si>
  <si>
    <t>CRT_A36_20</t>
  </si>
  <si>
    <t>CRT_A36_21</t>
  </si>
  <si>
    <t>CRT_A36_22</t>
  </si>
  <si>
    <t>CRT_A36_23</t>
  </si>
  <si>
    <t>Resting</t>
  </si>
  <si>
    <t>CRT_A40_00</t>
  </si>
  <si>
    <t>CRT_A40_01</t>
  </si>
  <si>
    <t>CRT_A40_02</t>
  </si>
  <si>
    <t>CRT_A40_03</t>
  </si>
  <si>
    <t>CRT_A40_04</t>
  </si>
  <si>
    <t>CRT_A40_05</t>
  </si>
  <si>
    <t>CRT_A49_16</t>
  </si>
  <si>
    <t>CRT_A49_17</t>
  </si>
  <si>
    <t>CRT_A49_18</t>
  </si>
  <si>
    <t>CRT_A49_19</t>
  </si>
  <si>
    <t>CRT_A49_20</t>
  </si>
  <si>
    <t>CRT_A49_21</t>
  </si>
  <si>
    <t>CRT_A49_22</t>
  </si>
  <si>
    <t>CRT_A52_23</t>
  </si>
  <si>
    <t>CRT_A52_24</t>
  </si>
  <si>
    <t>CRT_A52_25</t>
  </si>
  <si>
    <t>CRT_A52_26</t>
  </si>
  <si>
    <t>CRT_A52_27</t>
  </si>
  <si>
    <t>CRT_A52_28</t>
  </si>
  <si>
    <t>CRT_A52_29</t>
  </si>
  <si>
    <t>CRT_A52_30</t>
  </si>
  <si>
    <t>CRT_A55_14</t>
  </si>
  <si>
    <t>CRT_A55_15</t>
  </si>
  <si>
    <t>CRT_A55_16</t>
  </si>
  <si>
    <t>CRT_A55_17</t>
  </si>
  <si>
    <t>CRT_A55_18</t>
  </si>
  <si>
    <t>CRT_A55_19</t>
  </si>
  <si>
    <t>Controlled Averages</t>
  </si>
  <si>
    <t xml:space="preserve">Traveling </t>
  </si>
  <si>
    <t>Uncontrolled averages</t>
  </si>
  <si>
    <t>N values</t>
  </si>
  <si>
    <t>Sq. root</t>
  </si>
  <si>
    <t>Standard Error</t>
  </si>
  <si>
    <t>Standard Deviation controlled</t>
  </si>
  <si>
    <t>Standard Deviation uncontrolled</t>
  </si>
  <si>
    <t>click train avg</t>
  </si>
  <si>
    <t>St. dev</t>
  </si>
  <si>
    <t>St error</t>
  </si>
  <si>
    <t>noise</t>
  </si>
  <si>
    <t>click rate</t>
  </si>
  <si>
    <t>M</t>
  </si>
  <si>
    <t>T</t>
  </si>
  <si>
    <t>S</t>
  </si>
  <si>
    <t>R</t>
  </si>
  <si>
    <t>F</t>
  </si>
  <si>
    <t>Controlled CT</t>
  </si>
  <si>
    <t>controlled CT avg</t>
  </si>
  <si>
    <t>st dev controlled ct</t>
  </si>
  <si>
    <t>milling</t>
  </si>
  <si>
    <t>resting</t>
  </si>
  <si>
    <t>socializing</t>
  </si>
  <si>
    <t>traveling</t>
  </si>
  <si>
    <t>st error controlled ct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</si>
</sst>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C6A23"/>
      <color rgb="FF6F9D8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Click</a:t>
            </a:r>
            <a:r>
              <a:rPr lang="en-US" baseline="0"/>
              <a:t> rates versus ambient noise levels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6998281306207283E-2"/>
                  <c:y val="-6.9812311196949445E-2"/>
                </c:manualLayout>
              </c:layout>
              <c:numFmt formatCode="General" sourceLinked="0"/>
            </c:trendlineLbl>
          </c:trendline>
          <c:xVal>
            <c:numRef>
              <c:f>Sheet4!$H$2:$H$155</c:f>
              <c:numCache>
                <c:formatCode>General</c:formatCode>
                <c:ptCount val="154"/>
                <c:pt idx="0">
                  <c:v>96.5</c:v>
                </c:pt>
                <c:pt idx="1">
                  <c:v>97.7</c:v>
                </c:pt>
                <c:pt idx="2">
                  <c:v>97</c:v>
                </c:pt>
                <c:pt idx="3">
                  <c:v>97.8</c:v>
                </c:pt>
                <c:pt idx="4">
                  <c:v>96.2</c:v>
                </c:pt>
                <c:pt idx="5">
                  <c:v>94.6</c:v>
                </c:pt>
                <c:pt idx="6">
                  <c:v>96.6</c:v>
                </c:pt>
                <c:pt idx="7">
                  <c:v>96.8</c:v>
                </c:pt>
                <c:pt idx="8">
                  <c:v>95.8</c:v>
                </c:pt>
                <c:pt idx="9">
                  <c:v>97.6</c:v>
                </c:pt>
                <c:pt idx="10">
                  <c:v>99.5</c:v>
                </c:pt>
                <c:pt idx="11">
                  <c:v>99.5</c:v>
                </c:pt>
                <c:pt idx="12">
                  <c:v>101.9</c:v>
                </c:pt>
                <c:pt idx="13">
                  <c:v>99.6</c:v>
                </c:pt>
                <c:pt idx="14">
                  <c:v>97.5</c:v>
                </c:pt>
                <c:pt idx="15">
                  <c:v>96.9</c:v>
                </c:pt>
                <c:pt idx="16">
                  <c:v>95.5</c:v>
                </c:pt>
                <c:pt idx="17">
                  <c:v>95.1</c:v>
                </c:pt>
                <c:pt idx="18">
                  <c:v>95.6</c:v>
                </c:pt>
                <c:pt idx="19">
                  <c:v>95.1</c:v>
                </c:pt>
                <c:pt idx="20">
                  <c:v>97.7</c:v>
                </c:pt>
                <c:pt idx="21">
                  <c:v>97.5</c:v>
                </c:pt>
                <c:pt idx="22">
                  <c:v>97.8</c:v>
                </c:pt>
                <c:pt idx="23">
                  <c:v>98.6</c:v>
                </c:pt>
                <c:pt idx="24">
                  <c:v>98.9</c:v>
                </c:pt>
                <c:pt idx="25">
                  <c:v>98.3</c:v>
                </c:pt>
                <c:pt idx="26">
                  <c:v>99.3</c:v>
                </c:pt>
                <c:pt idx="27">
                  <c:v>98.5</c:v>
                </c:pt>
                <c:pt idx="28">
                  <c:v>99.4</c:v>
                </c:pt>
                <c:pt idx="29">
                  <c:v>99.4</c:v>
                </c:pt>
                <c:pt idx="30">
                  <c:v>104.5</c:v>
                </c:pt>
                <c:pt idx="31">
                  <c:v>102.7</c:v>
                </c:pt>
                <c:pt idx="32">
                  <c:v>97.1</c:v>
                </c:pt>
                <c:pt idx="33">
                  <c:v>102.5</c:v>
                </c:pt>
                <c:pt idx="34">
                  <c:v>98.4</c:v>
                </c:pt>
                <c:pt idx="35">
                  <c:v>97.5</c:v>
                </c:pt>
                <c:pt idx="36">
                  <c:v>94.4</c:v>
                </c:pt>
                <c:pt idx="37">
                  <c:v>92</c:v>
                </c:pt>
                <c:pt idx="38">
                  <c:v>115.8</c:v>
                </c:pt>
                <c:pt idx="39">
                  <c:v>115.9</c:v>
                </c:pt>
                <c:pt idx="40">
                  <c:v>119.3</c:v>
                </c:pt>
                <c:pt idx="41">
                  <c:v>120.9</c:v>
                </c:pt>
                <c:pt idx="42">
                  <c:v>117.8</c:v>
                </c:pt>
                <c:pt idx="43">
                  <c:v>116.5</c:v>
                </c:pt>
                <c:pt idx="44">
                  <c:v>118.3</c:v>
                </c:pt>
                <c:pt idx="45">
                  <c:v>118.4</c:v>
                </c:pt>
                <c:pt idx="46">
                  <c:v>117.9</c:v>
                </c:pt>
                <c:pt idx="47">
                  <c:v>119.1</c:v>
                </c:pt>
                <c:pt idx="48">
                  <c:v>119.7</c:v>
                </c:pt>
                <c:pt idx="49">
                  <c:v>120.5</c:v>
                </c:pt>
                <c:pt idx="50">
                  <c:v>118.1</c:v>
                </c:pt>
                <c:pt idx="51">
                  <c:v>115.5</c:v>
                </c:pt>
                <c:pt idx="52">
                  <c:v>116.3</c:v>
                </c:pt>
                <c:pt idx="53">
                  <c:v>113.8</c:v>
                </c:pt>
                <c:pt idx="54">
                  <c:v>116.7</c:v>
                </c:pt>
                <c:pt idx="55">
                  <c:v>115.2</c:v>
                </c:pt>
                <c:pt idx="56">
                  <c:v>113.6</c:v>
                </c:pt>
                <c:pt idx="57">
                  <c:v>114.4</c:v>
                </c:pt>
                <c:pt idx="58">
                  <c:v>115.6</c:v>
                </c:pt>
                <c:pt idx="59">
                  <c:v>111.3</c:v>
                </c:pt>
                <c:pt idx="60">
                  <c:v>115.9</c:v>
                </c:pt>
                <c:pt idx="61">
                  <c:v>118.8</c:v>
                </c:pt>
                <c:pt idx="62">
                  <c:v>116.3</c:v>
                </c:pt>
                <c:pt idx="63">
                  <c:v>116.1</c:v>
                </c:pt>
                <c:pt idx="64">
                  <c:v>117.3</c:v>
                </c:pt>
                <c:pt idx="65">
                  <c:v>115.1</c:v>
                </c:pt>
                <c:pt idx="66">
                  <c:v>113.8</c:v>
                </c:pt>
                <c:pt idx="67">
                  <c:v>114.7</c:v>
                </c:pt>
                <c:pt idx="68">
                  <c:v>112.1</c:v>
                </c:pt>
                <c:pt idx="69">
                  <c:v>115</c:v>
                </c:pt>
                <c:pt idx="70">
                  <c:v>92.2</c:v>
                </c:pt>
                <c:pt idx="71">
                  <c:v>89.7</c:v>
                </c:pt>
                <c:pt idx="72">
                  <c:v>89.7</c:v>
                </c:pt>
                <c:pt idx="73">
                  <c:v>89.5</c:v>
                </c:pt>
                <c:pt idx="74">
                  <c:v>89.1</c:v>
                </c:pt>
                <c:pt idx="75">
                  <c:v>89.6</c:v>
                </c:pt>
                <c:pt idx="76">
                  <c:v>89.6</c:v>
                </c:pt>
                <c:pt idx="77">
                  <c:v>89.4</c:v>
                </c:pt>
                <c:pt idx="78">
                  <c:v>89.5</c:v>
                </c:pt>
                <c:pt idx="79">
                  <c:v>89.3</c:v>
                </c:pt>
                <c:pt idx="80">
                  <c:v>89.4</c:v>
                </c:pt>
                <c:pt idx="81">
                  <c:v>89.1</c:v>
                </c:pt>
                <c:pt idx="82">
                  <c:v>89.6</c:v>
                </c:pt>
                <c:pt idx="83">
                  <c:v>89.6</c:v>
                </c:pt>
                <c:pt idx="84">
                  <c:v>89.5</c:v>
                </c:pt>
                <c:pt idx="85">
                  <c:v>89.7</c:v>
                </c:pt>
                <c:pt idx="86">
                  <c:v>111.8</c:v>
                </c:pt>
                <c:pt idx="87">
                  <c:v>111.8</c:v>
                </c:pt>
                <c:pt idx="88">
                  <c:v>113</c:v>
                </c:pt>
                <c:pt idx="89">
                  <c:v>111.9</c:v>
                </c:pt>
                <c:pt idx="90">
                  <c:v>112.4</c:v>
                </c:pt>
                <c:pt idx="91">
                  <c:v>112</c:v>
                </c:pt>
                <c:pt idx="92">
                  <c:v>111.7</c:v>
                </c:pt>
                <c:pt idx="93">
                  <c:v>111.4</c:v>
                </c:pt>
                <c:pt idx="94">
                  <c:v>111.8</c:v>
                </c:pt>
                <c:pt idx="95">
                  <c:v>117.9</c:v>
                </c:pt>
                <c:pt idx="96">
                  <c:v>117</c:v>
                </c:pt>
                <c:pt idx="97">
                  <c:v>117.1</c:v>
                </c:pt>
                <c:pt idx="98">
                  <c:v>116.1</c:v>
                </c:pt>
                <c:pt idx="99">
                  <c:v>115.8</c:v>
                </c:pt>
                <c:pt idx="100">
                  <c:v>114.7</c:v>
                </c:pt>
                <c:pt idx="101">
                  <c:v>113.6</c:v>
                </c:pt>
                <c:pt idx="102">
                  <c:v>113.4</c:v>
                </c:pt>
                <c:pt idx="103">
                  <c:v>114.4</c:v>
                </c:pt>
                <c:pt idx="104">
                  <c:v>115.9</c:v>
                </c:pt>
                <c:pt idx="105">
                  <c:v>115.9</c:v>
                </c:pt>
                <c:pt idx="106">
                  <c:v>115.7</c:v>
                </c:pt>
                <c:pt idx="107">
                  <c:v>117.4</c:v>
                </c:pt>
                <c:pt idx="108">
                  <c:v>118</c:v>
                </c:pt>
                <c:pt idx="109">
                  <c:v>116.8</c:v>
                </c:pt>
                <c:pt idx="110">
                  <c:v>118.6</c:v>
                </c:pt>
                <c:pt idx="111">
                  <c:v>117.7</c:v>
                </c:pt>
                <c:pt idx="112">
                  <c:v>117.2</c:v>
                </c:pt>
                <c:pt idx="113">
                  <c:v>116.6</c:v>
                </c:pt>
                <c:pt idx="114">
                  <c:v>114.9</c:v>
                </c:pt>
                <c:pt idx="115">
                  <c:v>119.5</c:v>
                </c:pt>
                <c:pt idx="116">
                  <c:v>119.3</c:v>
                </c:pt>
                <c:pt idx="117">
                  <c:v>116</c:v>
                </c:pt>
                <c:pt idx="118">
                  <c:v>118</c:v>
                </c:pt>
                <c:pt idx="119">
                  <c:v>116.6</c:v>
                </c:pt>
                <c:pt idx="120">
                  <c:v>113.4</c:v>
                </c:pt>
                <c:pt idx="121">
                  <c:v>114</c:v>
                </c:pt>
                <c:pt idx="122">
                  <c:v>115</c:v>
                </c:pt>
                <c:pt idx="123">
                  <c:v>115.6</c:v>
                </c:pt>
                <c:pt idx="124">
                  <c:v>115.1</c:v>
                </c:pt>
                <c:pt idx="125">
                  <c:v>115.8</c:v>
                </c:pt>
                <c:pt idx="126">
                  <c:v>116.7</c:v>
                </c:pt>
                <c:pt idx="127">
                  <c:v>117.4</c:v>
                </c:pt>
                <c:pt idx="128">
                  <c:v>116.8</c:v>
                </c:pt>
                <c:pt idx="129">
                  <c:v>121.6</c:v>
                </c:pt>
                <c:pt idx="130">
                  <c:v>114.4</c:v>
                </c:pt>
                <c:pt idx="131">
                  <c:v>124.8</c:v>
                </c:pt>
                <c:pt idx="132">
                  <c:v>120.8</c:v>
                </c:pt>
                <c:pt idx="133">
                  <c:v>116</c:v>
                </c:pt>
                <c:pt idx="134">
                  <c:v>113.6</c:v>
                </c:pt>
                <c:pt idx="135">
                  <c:v>118.4</c:v>
                </c:pt>
                <c:pt idx="136">
                  <c:v>118.1</c:v>
                </c:pt>
                <c:pt idx="137">
                  <c:v>118.5</c:v>
                </c:pt>
                <c:pt idx="138">
                  <c:v>118.1</c:v>
                </c:pt>
                <c:pt idx="139">
                  <c:v>118.5</c:v>
                </c:pt>
                <c:pt idx="140">
                  <c:v>116.1</c:v>
                </c:pt>
                <c:pt idx="141">
                  <c:v>114.3</c:v>
                </c:pt>
                <c:pt idx="142">
                  <c:v>115.8</c:v>
                </c:pt>
                <c:pt idx="143">
                  <c:v>114.7</c:v>
                </c:pt>
                <c:pt idx="144">
                  <c:v>114.3</c:v>
                </c:pt>
                <c:pt idx="145">
                  <c:v>113.7</c:v>
                </c:pt>
                <c:pt idx="146">
                  <c:v>113.8</c:v>
                </c:pt>
                <c:pt idx="147">
                  <c:v>113.3</c:v>
                </c:pt>
                <c:pt idx="148">
                  <c:v>114.9</c:v>
                </c:pt>
                <c:pt idx="149">
                  <c:v>116.1</c:v>
                </c:pt>
                <c:pt idx="150">
                  <c:v>114.7</c:v>
                </c:pt>
                <c:pt idx="151">
                  <c:v>115.6</c:v>
                </c:pt>
                <c:pt idx="152">
                  <c:v>113.6</c:v>
                </c:pt>
                <c:pt idx="153">
                  <c:v>114.4</c:v>
                </c:pt>
              </c:numCache>
            </c:numRef>
          </c:xVal>
          <c:yVal>
            <c:numRef>
              <c:f>Sheet4!$F$2:$F$155</c:f>
              <c:numCache>
                <c:formatCode>General</c:formatCode>
                <c:ptCount val="154"/>
                <c:pt idx="0">
                  <c:v>114.5</c:v>
                </c:pt>
                <c:pt idx="1">
                  <c:v>72.75</c:v>
                </c:pt>
                <c:pt idx="2">
                  <c:v>92.75</c:v>
                </c:pt>
                <c:pt idx="3">
                  <c:v>132.5</c:v>
                </c:pt>
                <c:pt idx="4">
                  <c:v>82</c:v>
                </c:pt>
                <c:pt idx="5">
                  <c:v>52.666666666666664</c:v>
                </c:pt>
                <c:pt idx="6">
                  <c:v>41</c:v>
                </c:pt>
                <c:pt idx="7">
                  <c:v>57.333333333333336</c:v>
                </c:pt>
                <c:pt idx="8">
                  <c:v>26.5</c:v>
                </c:pt>
                <c:pt idx="9">
                  <c:v>31.666666666666668</c:v>
                </c:pt>
                <c:pt idx="10">
                  <c:v>34.5</c:v>
                </c:pt>
                <c:pt idx="11">
                  <c:v>29.75</c:v>
                </c:pt>
                <c:pt idx="12">
                  <c:v>36.25</c:v>
                </c:pt>
                <c:pt idx="13">
                  <c:v>44.5</c:v>
                </c:pt>
                <c:pt idx="14">
                  <c:v>43.75</c:v>
                </c:pt>
                <c:pt idx="15">
                  <c:v>45.5</c:v>
                </c:pt>
                <c:pt idx="16">
                  <c:v>43.5</c:v>
                </c:pt>
                <c:pt idx="17">
                  <c:v>91.75</c:v>
                </c:pt>
                <c:pt idx="18">
                  <c:v>35.75</c:v>
                </c:pt>
                <c:pt idx="19">
                  <c:v>40.75</c:v>
                </c:pt>
                <c:pt idx="20">
                  <c:v>39</c:v>
                </c:pt>
                <c:pt idx="21">
                  <c:v>8.5</c:v>
                </c:pt>
                <c:pt idx="22">
                  <c:v>30</c:v>
                </c:pt>
                <c:pt idx="23">
                  <c:v>6</c:v>
                </c:pt>
                <c:pt idx="24">
                  <c:v>32</c:v>
                </c:pt>
                <c:pt idx="25">
                  <c:v>13.714285714285714</c:v>
                </c:pt>
                <c:pt idx="26">
                  <c:v>71.714285714285708</c:v>
                </c:pt>
                <c:pt idx="27">
                  <c:v>157</c:v>
                </c:pt>
                <c:pt idx="28">
                  <c:v>166.85714285714286</c:v>
                </c:pt>
                <c:pt idx="29">
                  <c:v>153</c:v>
                </c:pt>
                <c:pt idx="30">
                  <c:v>98</c:v>
                </c:pt>
                <c:pt idx="31">
                  <c:v>50</c:v>
                </c:pt>
                <c:pt idx="32">
                  <c:v>242</c:v>
                </c:pt>
                <c:pt idx="33">
                  <c:v>327.60000000000002</c:v>
                </c:pt>
                <c:pt idx="34">
                  <c:v>119.4</c:v>
                </c:pt>
                <c:pt idx="35">
                  <c:v>215.6</c:v>
                </c:pt>
                <c:pt idx="36">
                  <c:v>186.2</c:v>
                </c:pt>
                <c:pt idx="37">
                  <c:v>93.2</c:v>
                </c:pt>
                <c:pt idx="38">
                  <c:v>82.333333333333329</c:v>
                </c:pt>
                <c:pt idx="39">
                  <c:v>67.333333333333329</c:v>
                </c:pt>
                <c:pt idx="40">
                  <c:v>56</c:v>
                </c:pt>
                <c:pt idx="41">
                  <c:v>48.333333333333336</c:v>
                </c:pt>
                <c:pt idx="42">
                  <c:v>49.666666666666664</c:v>
                </c:pt>
                <c:pt idx="43">
                  <c:v>81</c:v>
                </c:pt>
                <c:pt idx="44">
                  <c:v>38.6</c:v>
                </c:pt>
                <c:pt idx="45">
                  <c:v>50.8</c:v>
                </c:pt>
                <c:pt idx="46">
                  <c:v>34.833333333333336</c:v>
                </c:pt>
                <c:pt idx="47">
                  <c:v>98.5</c:v>
                </c:pt>
                <c:pt idx="48">
                  <c:v>86.5</c:v>
                </c:pt>
                <c:pt idx="49">
                  <c:v>101</c:v>
                </c:pt>
                <c:pt idx="50">
                  <c:v>97.75</c:v>
                </c:pt>
                <c:pt idx="51">
                  <c:v>99</c:v>
                </c:pt>
                <c:pt idx="52">
                  <c:v>104.33333333333333</c:v>
                </c:pt>
                <c:pt idx="53">
                  <c:v>112.33333333333333</c:v>
                </c:pt>
                <c:pt idx="54">
                  <c:v>59.833333333333336</c:v>
                </c:pt>
                <c:pt idx="55">
                  <c:v>34.5</c:v>
                </c:pt>
                <c:pt idx="56">
                  <c:v>31</c:v>
                </c:pt>
                <c:pt idx="57">
                  <c:v>29.166666666666668</c:v>
                </c:pt>
                <c:pt idx="58">
                  <c:v>55.666666666666664</c:v>
                </c:pt>
                <c:pt idx="59">
                  <c:v>43.5</c:v>
                </c:pt>
                <c:pt idx="60">
                  <c:v>47.166666666666664</c:v>
                </c:pt>
                <c:pt idx="61">
                  <c:v>65.833333333333329</c:v>
                </c:pt>
                <c:pt idx="62">
                  <c:v>40.666666666666664</c:v>
                </c:pt>
                <c:pt idx="63">
                  <c:v>35.666666666666664</c:v>
                </c:pt>
                <c:pt idx="64">
                  <c:v>35.666666666666664</c:v>
                </c:pt>
                <c:pt idx="65">
                  <c:v>104.66666666666667</c:v>
                </c:pt>
                <c:pt idx="66">
                  <c:v>120</c:v>
                </c:pt>
                <c:pt idx="67">
                  <c:v>62</c:v>
                </c:pt>
                <c:pt idx="68">
                  <c:v>41.666666666666664</c:v>
                </c:pt>
                <c:pt idx="69">
                  <c:v>32.666666666666664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0.66666666666666663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0.5</c:v>
                </c:pt>
                <c:pt idx="80">
                  <c:v>0</c:v>
                </c:pt>
                <c:pt idx="81">
                  <c:v>2</c:v>
                </c:pt>
                <c:pt idx="82">
                  <c:v>1.3333333333333333</c:v>
                </c:pt>
                <c:pt idx="83">
                  <c:v>0</c:v>
                </c:pt>
                <c:pt idx="84">
                  <c:v>0.66666666666666663</c:v>
                </c:pt>
                <c:pt idx="85">
                  <c:v>0.66666666666666663</c:v>
                </c:pt>
                <c:pt idx="86">
                  <c:v>39.142857142857146</c:v>
                </c:pt>
                <c:pt idx="87">
                  <c:v>37.571428571428569</c:v>
                </c:pt>
                <c:pt idx="88">
                  <c:v>82</c:v>
                </c:pt>
                <c:pt idx="89">
                  <c:v>110.42857142857143</c:v>
                </c:pt>
                <c:pt idx="90">
                  <c:v>87.428571428571431</c:v>
                </c:pt>
                <c:pt idx="91">
                  <c:v>102.42857142857143</c:v>
                </c:pt>
                <c:pt idx="92">
                  <c:v>206.71428571428572</c:v>
                </c:pt>
                <c:pt idx="93">
                  <c:v>86.142857142857139</c:v>
                </c:pt>
                <c:pt idx="94">
                  <c:v>80.142857142857139</c:v>
                </c:pt>
                <c:pt idx="95">
                  <c:v>96.25</c:v>
                </c:pt>
                <c:pt idx="96">
                  <c:v>125.5</c:v>
                </c:pt>
                <c:pt idx="97">
                  <c:v>117.25</c:v>
                </c:pt>
                <c:pt idx="98">
                  <c:v>32.25</c:v>
                </c:pt>
                <c:pt idx="99">
                  <c:v>50.25</c:v>
                </c:pt>
                <c:pt idx="100">
                  <c:v>439.5</c:v>
                </c:pt>
                <c:pt idx="101">
                  <c:v>135</c:v>
                </c:pt>
                <c:pt idx="102">
                  <c:v>306</c:v>
                </c:pt>
                <c:pt idx="103">
                  <c:v>721.5</c:v>
                </c:pt>
                <c:pt idx="104">
                  <c:v>235</c:v>
                </c:pt>
                <c:pt idx="105">
                  <c:v>235</c:v>
                </c:pt>
                <c:pt idx="106">
                  <c:v>497.5</c:v>
                </c:pt>
                <c:pt idx="107">
                  <c:v>207</c:v>
                </c:pt>
                <c:pt idx="108">
                  <c:v>422</c:v>
                </c:pt>
                <c:pt idx="109">
                  <c:v>263.5</c:v>
                </c:pt>
                <c:pt idx="110">
                  <c:v>0</c:v>
                </c:pt>
                <c:pt idx="111">
                  <c:v>6.416666666666667</c:v>
                </c:pt>
                <c:pt idx="112">
                  <c:v>5.916666666666667</c:v>
                </c:pt>
                <c:pt idx="113">
                  <c:v>9.5</c:v>
                </c:pt>
                <c:pt idx="114">
                  <c:v>8.5833333333333339</c:v>
                </c:pt>
                <c:pt idx="115">
                  <c:v>3.0833333333333335</c:v>
                </c:pt>
                <c:pt idx="116">
                  <c:v>10.333333333333334</c:v>
                </c:pt>
                <c:pt idx="117">
                  <c:v>11.833333333333334</c:v>
                </c:pt>
                <c:pt idx="118">
                  <c:v>9.4166666666666661</c:v>
                </c:pt>
                <c:pt idx="119">
                  <c:v>6</c:v>
                </c:pt>
                <c:pt idx="120">
                  <c:v>5.083333333333333</c:v>
                </c:pt>
                <c:pt idx="121">
                  <c:v>10.583333333333334</c:v>
                </c:pt>
                <c:pt idx="122">
                  <c:v>3.5833333333333335</c:v>
                </c:pt>
                <c:pt idx="123">
                  <c:v>0.91666666666666663</c:v>
                </c:pt>
                <c:pt idx="124">
                  <c:v>0.16666666666666666</c:v>
                </c:pt>
                <c:pt idx="125">
                  <c:v>8.3333333333333329E-2</c:v>
                </c:pt>
                <c:pt idx="126">
                  <c:v>8.3333333333333329E-2</c:v>
                </c:pt>
                <c:pt idx="127">
                  <c:v>0.1</c:v>
                </c:pt>
                <c:pt idx="128">
                  <c:v>0.1</c:v>
                </c:pt>
                <c:pt idx="129">
                  <c:v>0</c:v>
                </c:pt>
                <c:pt idx="130">
                  <c:v>0.1</c:v>
                </c:pt>
                <c:pt idx="131">
                  <c:v>0</c:v>
                </c:pt>
                <c:pt idx="132">
                  <c:v>0.2</c:v>
                </c:pt>
                <c:pt idx="133">
                  <c:v>653.5</c:v>
                </c:pt>
                <c:pt idx="134">
                  <c:v>324.75</c:v>
                </c:pt>
                <c:pt idx="135">
                  <c:v>222.75</c:v>
                </c:pt>
                <c:pt idx="136">
                  <c:v>273.5</c:v>
                </c:pt>
                <c:pt idx="137">
                  <c:v>197</c:v>
                </c:pt>
                <c:pt idx="138">
                  <c:v>126.75</c:v>
                </c:pt>
                <c:pt idx="139">
                  <c:v>78</c:v>
                </c:pt>
                <c:pt idx="140">
                  <c:v>62.5</c:v>
                </c:pt>
                <c:pt idx="141">
                  <c:v>47</c:v>
                </c:pt>
                <c:pt idx="142">
                  <c:v>90</c:v>
                </c:pt>
                <c:pt idx="143">
                  <c:v>68.25</c:v>
                </c:pt>
                <c:pt idx="144">
                  <c:v>140.25</c:v>
                </c:pt>
                <c:pt idx="145">
                  <c:v>108.25</c:v>
                </c:pt>
                <c:pt idx="146">
                  <c:v>79.5</c:v>
                </c:pt>
                <c:pt idx="147">
                  <c:v>78.5</c:v>
                </c:pt>
                <c:pt idx="148">
                  <c:v>120</c:v>
                </c:pt>
                <c:pt idx="149">
                  <c:v>123</c:v>
                </c:pt>
                <c:pt idx="150">
                  <c:v>120</c:v>
                </c:pt>
                <c:pt idx="151">
                  <c:v>191</c:v>
                </c:pt>
                <c:pt idx="152">
                  <c:v>57</c:v>
                </c:pt>
                <c:pt idx="153">
                  <c:v>25.5</c:v>
                </c:pt>
              </c:numCache>
            </c:numRef>
          </c:yVal>
        </c:ser>
        <c:axId val="107222912"/>
        <c:axId val="107229184"/>
      </c:scatterChart>
      <c:valAx>
        <c:axId val="107222912"/>
        <c:scaling>
          <c:orientation val="minMax"/>
          <c:max val="125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level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7229184"/>
        <c:crosses val="autoZero"/>
        <c:crossBetween val="midCat"/>
      </c:valAx>
      <c:valAx>
        <c:axId val="1072291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</a:t>
                </a:r>
                <a:r>
                  <a:rPr lang="en-US" baseline="0"/>
                  <a:t> clicks/min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7222912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Upper threshold of click production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1.388888888888888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Foraging</a:t>
                    </a:r>
                  </a:p>
                </c:rich>
              </c:tx>
              <c:showSerName val="1"/>
            </c:dLbl>
            <c:dLbl>
              <c:idx val="1"/>
              <c:layout>
                <c:manualLayout>
                  <c:x val="-1.9444444444444445E-2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Traveling</a:t>
                    </a:r>
                  </a:p>
                </c:rich>
              </c:tx>
              <c:showSerName val="1"/>
            </c:dLbl>
            <c:dLbl>
              <c:idx val="2"/>
              <c:layout>
                <c:manualLayout>
                  <c:x val="-1.1111111111111112E-2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Socializing</a:t>
                    </a:r>
                  </a:p>
                </c:rich>
              </c:tx>
              <c:showVal val="1"/>
              <c:showSerName val="1"/>
            </c:dLbl>
            <c:dLbl>
              <c:idx val="3"/>
              <c:layout>
                <c:manualLayout>
                  <c:x val="-1.9444444444444445E-2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Resting</a:t>
                    </a:r>
                  </a:p>
                </c:rich>
              </c:tx>
              <c:showSerName val="1"/>
            </c:dLbl>
            <c:dLbl>
              <c:idx val="4"/>
              <c:layout>
                <c:manualLayout>
                  <c:x val="-2.2222222222222223E-2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Milling</a:t>
                    </a:r>
                  </a:p>
                </c:rich>
              </c:tx>
              <c:showSerName val="1"/>
            </c:dLbl>
            <c:showSerName val="1"/>
          </c:dLbls>
          <c:xVal>
            <c:numRef>
              <c:f>Sheet4!$AC$63:$AC$67</c:f>
              <c:numCache>
                <c:formatCode>General</c:formatCode>
                <c:ptCount val="5"/>
                <c:pt idx="0">
                  <c:v>120.9</c:v>
                </c:pt>
                <c:pt idx="1">
                  <c:v>118.5</c:v>
                </c:pt>
                <c:pt idx="2">
                  <c:v>117.1</c:v>
                </c:pt>
                <c:pt idx="3">
                  <c:v>117.9</c:v>
                </c:pt>
                <c:pt idx="4">
                  <c:v>118.8</c:v>
                </c:pt>
              </c:numCache>
            </c:numRef>
          </c:xVal>
          <c:yVal>
            <c:numRef>
              <c:f>Sheet4!$AD$63:$AD$67</c:f>
              <c:numCache>
                <c:formatCode>General</c:formatCode>
                <c:ptCount val="5"/>
                <c:pt idx="0">
                  <c:v>48.3</c:v>
                </c:pt>
                <c:pt idx="1">
                  <c:v>78</c:v>
                </c:pt>
                <c:pt idx="2">
                  <c:v>117.25</c:v>
                </c:pt>
                <c:pt idx="3">
                  <c:v>96.25</c:v>
                </c:pt>
                <c:pt idx="4">
                  <c:v>65.8</c:v>
                </c:pt>
              </c:numCache>
            </c:numRef>
          </c:yVal>
        </c:ser>
        <c:dLbls/>
        <c:axId val="75563392"/>
        <c:axId val="75428992"/>
      </c:scatterChart>
      <c:valAx>
        <c:axId val="75563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threshold</a:t>
                </a:r>
                <a:r>
                  <a:rPr lang="en-US" baseline="0"/>
                  <a:t> (dB)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75428992"/>
        <c:crosses val="autoZero"/>
        <c:crossBetween val="midCat"/>
      </c:valAx>
      <c:valAx>
        <c:axId val="754289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</a:t>
                </a:r>
                <a:r>
                  <a:rPr lang="en-US" baseline="0"/>
                  <a:t> at highest background level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555555555555E-2"/>
              <c:y val="0.16239610673665791"/>
            </c:manualLayout>
          </c:layout>
        </c:title>
        <c:numFmt formatCode="General" sourceLinked="1"/>
        <c:majorTickMark val="none"/>
        <c:tickLblPos val="nextTo"/>
        <c:crossAx val="75563392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Controlled average number of click trains across behavior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Sheet4!$O$42:$O$46</c:f>
                <c:numCache>
                  <c:formatCode>General</c:formatCode>
                  <c:ptCount val="5"/>
                  <c:pt idx="0">
                    <c:v>8.5305403636396035E-2</c:v>
                  </c:pt>
                  <c:pt idx="1">
                    <c:v>8.5916922716018723E-2</c:v>
                  </c:pt>
                  <c:pt idx="2">
                    <c:v>5.5741586311779431E-2</c:v>
                  </c:pt>
                  <c:pt idx="3">
                    <c:v>0.47434164902525683</c:v>
                  </c:pt>
                  <c:pt idx="4">
                    <c:v>0.19660083486623586</c:v>
                  </c:pt>
                </c:numCache>
              </c:numRef>
            </c:plus>
            <c:minus>
              <c:numRef>
                <c:f>Sheet4!$O$42:$O$46</c:f>
                <c:numCache>
                  <c:formatCode>General</c:formatCode>
                  <c:ptCount val="5"/>
                  <c:pt idx="0">
                    <c:v>8.5305403636396035E-2</c:v>
                  </c:pt>
                  <c:pt idx="1">
                    <c:v>8.5916922716018723E-2</c:v>
                  </c:pt>
                  <c:pt idx="2">
                    <c:v>5.5741586311779431E-2</c:v>
                  </c:pt>
                  <c:pt idx="3">
                    <c:v>0.47434164902525683</c:v>
                  </c:pt>
                  <c:pt idx="4">
                    <c:v>0.19660083486623586</c:v>
                  </c:pt>
                </c:numCache>
              </c:numRef>
            </c:minus>
          </c:errBars>
          <c:cat>
            <c:strRef>
              <c:f>Sheet4!$N$27:$N$31</c:f>
              <c:strCache>
                <c:ptCount val="5"/>
                <c:pt idx="0">
                  <c:v>Foraging</c:v>
                </c:pt>
                <c:pt idx="1">
                  <c:v>Milling</c:v>
                </c:pt>
                <c:pt idx="2">
                  <c:v>Resting</c:v>
                </c:pt>
                <c:pt idx="3">
                  <c:v>Socializing</c:v>
                </c:pt>
                <c:pt idx="4">
                  <c:v>Traveling</c:v>
                </c:pt>
              </c:strCache>
            </c:strRef>
          </c:cat>
          <c:val>
            <c:numRef>
              <c:f>Sheet4!$O$27:$O$31</c:f>
              <c:numCache>
                <c:formatCode>General</c:formatCode>
                <c:ptCount val="5"/>
                <c:pt idx="0">
                  <c:v>0.70924908424908417</c:v>
                </c:pt>
                <c:pt idx="1">
                  <c:v>0.38636363636363635</c:v>
                </c:pt>
                <c:pt idx="2">
                  <c:v>0.13819875776397514</c:v>
                </c:pt>
                <c:pt idx="3">
                  <c:v>0.75</c:v>
                </c:pt>
                <c:pt idx="4">
                  <c:v>0.79807692307692313</c:v>
                </c:pt>
              </c:numCache>
            </c:numRef>
          </c:val>
        </c:ser>
        <c:dLbls/>
        <c:axId val="72218112"/>
        <c:axId val="72359936"/>
      </c:barChart>
      <c:catAx>
        <c:axId val="72218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</a:t>
                </a:r>
              </a:p>
            </c:rich>
          </c:tx>
          <c:layout/>
        </c:title>
        <c:majorTickMark val="none"/>
        <c:tickLblPos val="nextTo"/>
        <c:crossAx val="72359936"/>
        <c:crosses val="autoZero"/>
        <c:auto val="1"/>
        <c:lblAlgn val="ctr"/>
        <c:lblOffset val="100"/>
      </c:catAx>
      <c:valAx>
        <c:axId val="723599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click trains/minute</a:t>
                </a:r>
              </a:p>
            </c:rich>
          </c:tx>
          <c:layout/>
        </c:title>
        <c:numFmt formatCode="General" sourceLinked="1"/>
        <c:tickLblPos val="nextTo"/>
        <c:crossAx val="7221811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Click Rate comparison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6.3507242892348423E-2"/>
                  <c:y val="-1.893757845486712E-2"/>
                </c:manualLayout>
              </c:layout>
              <c:numFmt formatCode="General" sourceLinked="0"/>
            </c:trendlineLbl>
          </c:trendline>
          <c:xVal>
            <c:numRef>
              <c:f>Sheet3!$C$2:$C$15</c:f>
              <c:numCache>
                <c:formatCode>General</c:formatCode>
                <c:ptCount val="14"/>
                <c:pt idx="0">
                  <c:v>463</c:v>
                </c:pt>
                <c:pt idx="1">
                  <c:v>417</c:v>
                </c:pt>
                <c:pt idx="2">
                  <c:v>383</c:v>
                </c:pt>
                <c:pt idx="3">
                  <c:v>530</c:v>
                </c:pt>
                <c:pt idx="4">
                  <c:v>402</c:v>
                </c:pt>
                <c:pt idx="5">
                  <c:v>357</c:v>
                </c:pt>
                <c:pt idx="6">
                  <c:v>284</c:v>
                </c:pt>
                <c:pt idx="7">
                  <c:v>385</c:v>
                </c:pt>
                <c:pt idx="8">
                  <c:v>909</c:v>
                </c:pt>
                <c:pt idx="9">
                  <c:v>0</c:v>
                </c:pt>
                <c:pt idx="10">
                  <c:v>161</c:v>
                </c:pt>
                <c:pt idx="11">
                  <c:v>102</c:v>
                </c:pt>
                <c:pt idx="12">
                  <c:v>26</c:v>
                </c:pt>
                <c:pt idx="13">
                  <c:v>529</c:v>
                </c:pt>
              </c:numCache>
            </c:numRef>
          </c:xVal>
          <c:yVal>
            <c:numRef>
              <c:f>Sheet3!$D$2:$D$15</c:f>
              <c:numCache>
                <c:formatCode>General</c:formatCode>
                <c:ptCount val="14"/>
                <c:pt idx="0">
                  <c:v>516</c:v>
                </c:pt>
                <c:pt idx="1">
                  <c:v>329</c:v>
                </c:pt>
                <c:pt idx="2">
                  <c:v>425</c:v>
                </c:pt>
                <c:pt idx="3">
                  <c:v>569</c:v>
                </c:pt>
                <c:pt idx="4">
                  <c:v>400</c:v>
                </c:pt>
                <c:pt idx="5">
                  <c:v>337</c:v>
                </c:pt>
                <c:pt idx="6">
                  <c:v>118</c:v>
                </c:pt>
                <c:pt idx="7">
                  <c:v>512</c:v>
                </c:pt>
                <c:pt idx="8">
                  <c:v>1252</c:v>
                </c:pt>
                <c:pt idx="9">
                  <c:v>0</c:v>
                </c:pt>
                <c:pt idx="10">
                  <c:v>417</c:v>
                </c:pt>
                <c:pt idx="11">
                  <c:v>315</c:v>
                </c:pt>
                <c:pt idx="12">
                  <c:v>19</c:v>
                </c:pt>
                <c:pt idx="13">
                  <c:v>894</c:v>
                </c:pt>
              </c:numCache>
            </c:numRef>
          </c:yVal>
        </c:ser>
        <c:axId val="107485824"/>
        <c:axId val="107504384"/>
      </c:scatterChart>
      <c:valAx>
        <c:axId val="107485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Hana's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07504384"/>
        <c:crosses val="autoZero"/>
        <c:crossBetween val="midCat"/>
      </c:valAx>
      <c:valAx>
        <c:axId val="1075043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Val's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07485824"/>
        <c:crosses val="autoZero"/>
        <c:crossBetween val="midCat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Click</a:t>
            </a:r>
            <a:r>
              <a:rPr lang="en-US" baseline="0"/>
              <a:t> Rate Comparisons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Click comparison @ 90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Sheet3!$C$2:$C$15</c:f>
              <c:numCache>
                <c:formatCode>General</c:formatCode>
                <c:ptCount val="14"/>
                <c:pt idx="0">
                  <c:v>463</c:v>
                </c:pt>
                <c:pt idx="1">
                  <c:v>417</c:v>
                </c:pt>
                <c:pt idx="2">
                  <c:v>383</c:v>
                </c:pt>
                <c:pt idx="3">
                  <c:v>530</c:v>
                </c:pt>
                <c:pt idx="4">
                  <c:v>402</c:v>
                </c:pt>
                <c:pt idx="5">
                  <c:v>357</c:v>
                </c:pt>
                <c:pt idx="6">
                  <c:v>284</c:v>
                </c:pt>
                <c:pt idx="7">
                  <c:v>385</c:v>
                </c:pt>
                <c:pt idx="8">
                  <c:v>909</c:v>
                </c:pt>
                <c:pt idx="9">
                  <c:v>0</c:v>
                </c:pt>
                <c:pt idx="10">
                  <c:v>161</c:v>
                </c:pt>
                <c:pt idx="11">
                  <c:v>102</c:v>
                </c:pt>
                <c:pt idx="12">
                  <c:v>26</c:v>
                </c:pt>
                <c:pt idx="13">
                  <c:v>529</c:v>
                </c:pt>
              </c:numCache>
            </c:numRef>
          </c:xVal>
          <c:yVal>
            <c:numRef>
              <c:f>Sheet3!$F$2:$F$15</c:f>
              <c:numCache>
                <c:formatCode>General</c:formatCode>
                <c:ptCount val="14"/>
                <c:pt idx="0">
                  <c:v>458</c:v>
                </c:pt>
                <c:pt idx="1">
                  <c:v>291</c:v>
                </c:pt>
                <c:pt idx="2">
                  <c:v>371</c:v>
                </c:pt>
                <c:pt idx="3">
                  <c:v>530</c:v>
                </c:pt>
                <c:pt idx="4">
                  <c:v>328</c:v>
                </c:pt>
                <c:pt idx="5">
                  <c:v>316</c:v>
                </c:pt>
                <c:pt idx="6">
                  <c:v>102</c:v>
                </c:pt>
                <c:pt idx="7">
                  <c:v>463</c:v>
                </c:pt>
                <c:pt idx="8">
                  <c:v>1099</c:v>
                </c:pt>
                <c:pt idx="9">
                  <c:v>0</c:v>
                </c:pt>
                <c:pt idx="10">
                  <c:v>406</c:v>
                </c:pt>
                <c:pt idx="11">
                  <c:v>301</c:v>
                </c:pt>
                <c:pt idx="12">
                  <c:v>18</c:v>
                </c:pt>
                <c:pt idx="13">
                  <c:v>748</c:v>
                </c:pt>
              </c:numCache>
            </c:numRef>
          </c:yVal>
        </c:ser>
        <c:dLbls/>
        <c:axId val="107541632"/>
        <c:axId val="107543168"/>
      </c:scatterChart>
      <c:valAx>
        <c:axId val="107541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Hand-counted</a:t>
                </a:r>
                <a:r>
                  <a:rPr lang="en-US" baseline="0"/>
                  <a:t> Click Rate per Minute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07543168"/>
        <c:crosses val="autoZero"/>
        <c:crossBetween val="midCat"/>
      </c:valAx>
      <c:valAx>
        <c:axId val="1075431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Beam</a:t>
                </a:r>
                <a:r>
                  <a:rPr lang="en-US" baseline="0"/>
                  <a:t> Reach Analyzer Click Rate per Minute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07541632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Click Rate vs. Behavior States</a:t>
            </a:r>
            <a:r>
              <a:rPr lang="en-US" baseline="0"/>
              <a:t> 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dPt>
            <c:idx val="1"/>
            <c:spPr>
              <a:solidFill>
                <a:srgbClr val="1C6A23"/>
              </a:solidFill>
            </c:spPr>
          </c:dPt>
          <c:dLbls>
            <c:showVal val="1"/>
          </c:dLbls>
          <c:cat>
            <c:strRef>
              <c:f>Sheet1!$H$16:$H$17</c:f>
              <c:strCache>
                <c:ptCount val="2"/>
                <c:pt idx="0">
                  <c:v>Travelling</c:v>
                </c:pt>
                <c:pt idx="1">
                  <c:v>Foraging</c:v>
                </c:pt>
              </c:strCache>
            </c:strRef>
          </c:cat>
          <c:val>
            <c:numRef>
              <c:f>Sheet1!$I$16:$I$17</c:f>
              <c:numCache>
                <c:formatCode>General</c:formatCode>
                <c:ptCount val="2"/>
                <c:pt idx="0">
                  <c:v>101.375</c:v>
                </c:pt>
                <c:pt idx="1">
                  <c:v>46</c:v>
                </c:pt>
              </c:numCache>
            </c:numRef>
          </c:val>
        </c:ser>
        <c:axId val="118602752"/>
        <c:axId val="121263232"/>
      </c:barChart>
      <c:catAx>
        <c:axId val="118602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States</a:t>
                </a:r>
              </a:p>
            </c:rich>
          </c:tx>
        </c:title>
        <c:majorTickMark val="none"/>
        <c:tickLblPos val="nextTo"/>
        <c:crossAx val="121263232"/>
        <c:crosses val="autoZero"/>
        <c:auto val="1"/>
        <c:lblAlgn val="ctr"/>
        <c:lblOffset val="100"/>
      </c:catAx>
      <c:valAx>
        <c:axId val="1212632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click rate/min.</a:t>
                </a:r>
              </a:p>
            </c:rich>
          </c:tx>
        </c:title>
        <c:numFmt formatCode="General" sourceLinked="1"/>
        <c:tickLblPos val="nextTo"/>
        <c:crossAx val="11860275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Ambient Noise (dB) vs. Click</a:t>
            </a:r>
            <a:r>
              <a:rPr lang="en-US" baseline="0"/>
              <a:t> Rate</a:t>
            </a:r>
            <a:endParaRPr lang="en-US"/>
          </a:p>
        </c:rich>
      </c:tx>
    </c:title>
    <c:plotArea>
      <c:layout/>
      <c:scatterChart>
        <c:scatterStyle val="lineMarker"/>
        <c:ser>
          <c:idx val="0"/>
          <c:order val="0"/>
          <c:tx>
            <c:v>Ambient noise (dB)</c:v>
          </c:tx>
          <c:spPr>
            <a:ln w="28575">
              <a:noFill/>
            </a:ln>
          </c:spPr>
          <c:xVal>
            <c:numRef>
              <c:f>Sheet1!$J$2:$J$9</c:f>
              <c:numCache>
                <c:formatCode>General</c:formatCode>
                <c:ptCount val="8"/>
                <c:pt idx="0">
                  <c:v>97.5</c:v>
                </c:pt>
                <c:pt idx="1">
                  <c:v>99.4</c:v>
                </c:pt>
                <c:pt idx="2">
                  <c:v>97.1</c:v>
                </c:pt>
                <c:pt idx="3">
                  <c:v>96.9</c:v>
                </c:pt>
                <c:pt idx="4">
                  <c:v>96.8</c:v>
                </c:pt>
                <c:pt idx="5">
                  <c:v>93.5</c:v>
                </c:pt>
                <c:pt idx="6">
                  <c:v>96.5</c:v>
                </c:pt>
                <c:pt idx="7">
                  <c:v>99.2</c:v>
                </c:pt>
              </c:numCache>
            </c:numRef>
          </c:xVal>
          <c:yVal>
            <c:numRef>
              <c:f>Sheet1!$F$2:$F$9</c:f>
              <c:numCache>
                <c:formatCode>General</c:formatCode>
                <c:ptCount val="8"/>
                <c:pt idx="0">
                  <c:v>115.75</c:v>
                </c:pt>
                <c:pt idx="1">
                  <c:v>104.25</c:v>
                </c:pt>
                <c:pt idx="2">
                  <c:v>95.75</c:v>
                </c:pt>
                <c:pt idx="3">
                  <c:v>132.5</c:v>
                </c:pt>
                <c:pt idx="4">
                  <c:v>100.5</c:v>
                </c:pt>
                <c:pt idx="5">
                  <c:v>59.5</c:v>
                </c:pt>
                <c:pt idx="6">
                  <c:v>40.571428571428569</c:v>
                </c:pt>
                <c:pt idx="7">
                  <c:v>51.428571428571431</c:v>
                </c:pt>
              </c:numCache>
            </c:numRef>
          </c:yVal>
        </c:ser>
        <c:axId val="121275520"/>
        <c:axId val="121289344"/>
      </c:scatterChart>
      <c:valAx>
        <c:axId val="121275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</a:t>
                </a:r>
                <a:r>
                  <a:rPr lang="en-US" baseline="0"/>
                  <a:t> Noise Level (dB)</a:t>
                </a:r>
                <a:endParaRPr lang="en-US"/>
              </a:p>
            </c:rich>
          </c:tx>
        </c:title>
        <c:numFmt formatCode="General" sourceLinked="1"/>
        <c:majorTickMark val="none"/>
        <c:tickLblPos val="nextTo"/>
        <c:crossAx val="121289344"/>
        <c:crosses val="autoZero"/>
        <c:crossBetween val="midCat"/>
      </c:valAx>
      <c:valAx>
        <c:axId val="121289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</c:title>
        <c:numFmt formatCode="General" sourceLinked="1"/>
        <c:majorTickMark val="none"/>
        <c:tickLblPos val="nextTo"/>
        <c:crossAx val="121275520"/>
        <c:crosses val="autoZero"/>
        <c:crossBetween val="midCat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Controlled Average</a:t>
            </a:r>
            <a:r>
              <a:rPr lang="en-US" sz="1400" baseline="0"/>
              <a:t> Click Rates per Minute</a:t>
            </a:r>
            <a:endParaRPr lang="en-US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Sheet4!$B$209:$B$213</c:f>
                <c:numCache>
                  <c:formatCode>General</c:formatCode>
                  <c:ptCount val="5"/>
                  <c:pt idx="0">
                    <c:v>8.6114645655136108</c:v>
                  </c:pt>
                  <c:pt idx="1">
                    <c:v>7.6386945582474999</c:v>
                  </c:pt>
                  <c:pt idx="2">
                    <c:v>11.998084238590712</c:v>
                  </c:pt>
                  <c:pt idx="3">
                    <c:v>73.75816056545878</c:v>
                  </c:pt>
                  <c:pt idx="4">
                    <c:v>22.95123363718217</c:v>
                  </c:pt>
                </c:numCache>
              </c:numRef>
            </c:plus>
            <c:minus>
              <c:numRef>
                <c:f>Sheet4!$B$209:$B$213</c:f>
                <c:numCache>
                  <c:formatCode>General</c:formatCode>
                  <c:ptCount val="5"/>
                  <c:pt idx="0">
                    <c:v>8.6114645655136108</c:v>
                  </c:pt>
                  <c:pt idx="1">
                    <c:v>7.6386945582474999</c:v>
                  </c:pt>
                  <c:pt idx="2">
                    <c:v>11.998084238590712</c:v>
                  </c:pt>
                  <c:pt idx="3">
                    <c:v>73.75816056545878</c:v>
                  </c:pt>
                  <c:pt idx="4">
                    <c:v>22.95123363718217</c:v>
                  </c:pt>
                </c:numCache>
              </c:numRef>
            </c:minus>
          </c:errBars>
          <c:cat>
            <c:strRef>
              <c:f>Sheet4!$B$159:$B$163</c:f>
              <c:strCache>
                <c:ptCount val="5"/>
                <c:pt idx="0">
                  <c:v>Foraging</c:v>
                </c:pt>
                <c:pt idx="1">
                  <c:v>Milling</c:v>
                </c:pt>
                <c:pt idx="2">
                  <c:v>Resting</c:v>
                </c:pt>
                <c:pt idx="3">
                  <c:v>Socializing</c:v>
                </c:pt>
                <c:pt idx="4">
                  <c:v>Traveling </c:v>
                </c:pt>
              </c:strCache>
            </c:strRef>
          </c:cat>
          <c:val>
            <c:numRef>
              <c:f>Sheet4!$C$159:$C$163</c:f>
              <c:numCache>
                <c:formatCode>General</c:formatCode>
                <c:ptCount val="5"/>
                <c:pt idx="0">
                  <c:v>79.828891941391944</c:v>
                </c:pt>
                <c:pt idx="1">
                  <c:v>48.090909090909093</c:v>
                </c:pt>
                <c:pt idx="2">
                  <c:v>46.039855072463759</c:v>
                </c:pt>
                <c:pt idx="3">
                  <c:v>180.04166666666666</c:v>
                </c:pt>
                <c:pt idx="4">
                  <c:v>118.58814102564104</c:v>
                </c:pt>
              </c:numCache>
            </c:numRef>
          </c:val>
        </c:ser>
        <c:axId val="107245568"/>
        <c:axId val="107247488"/>
      </c:barChart>
      <c:catAx>
        <c:axId val="107245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</a:t>
                </a:r>
              </a:p>
            </c:rich>
          </c:tx>
          <c:layout/>
        </c:title>
        <c:majorTickMark val="none"/>
        <c:tickLblPos val="nextTo"/>
        <c:crossAx val="107247488"/>
        <c:crosses val="autoZero"/>
        <c:auto val="1"/>
        <c:lblAlgn val="ctr"/>
        <c:lblOffset val="100"/>
      </c:catAx>
      <c:valAx>
        <c:axId val="107247488"/>
        <c:scaling>
          <c:orientation val="minMax"/>
          <c:max val="275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clicks per Minute</a:t>
                </a:r>
              </a:p>
            </c:rich>
          </c:tx>
          <c:layout/>
        </c:title>
        <c:numFmt formatCode="General" sourceLinked="1"/>
        <c:tickLblPos val="nextTo"/>
        <c:crossAx val="107245568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Uncontrolled Average Click Rates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Sheet4!$B$224:$B$228</c:f>
                <c:numCache>
                  <c:formatCode>General</c:formatCode>
                  <c:ptCount val="5"/>
                  <c:pt idx="0">
                    <c:v>48.688817399729459</c:v>
                  </c:pt>
                  <c:pt idx="1">
                    <c:v>27.025619340687406</c:v>
                  </c:pt>
                  <c:pt idx="2">
                    <c:v>79.085855922390721</c:v>
                  </c:pt>
                  <c:pt idx="3">
                    <c:v>134.83382364970592</c:v>
                  </c:pt>
                  <c:pt idx="4">
                    <c:v>65.871506469804245</c:v>
                  </c:pt>
                </c:numCache>
              </c:numRef>
            </c:plus>
            <c:minus>
              <c:numRef>
                <c:f>Sheet4!$B$224:$B$228</c:f>
                <c:numCache>
                  <c:formatCode>General</c:formatCode>
                  <c:ptCount val="5"/>
                  <c:pt idx="0">
                    <c:v>48.688817399729459</c:v>
                  </c:pt>
                  <c:pt idx="1">
                    <c:v>27.025619340687406</c:v>
                  </c:pt>
                  <c:pt idx="2">
                    <c:v>79.085855922390721</c:v>
                  </c:pt>
                  <c:pt idx="3">
                    <c:v>134.83382364970592</c:v>
                  </c:pt>
                  <c:pt idx="4">
                    <c:v>65.871506469804245</c:v>
                  </c:pt>
                </c:numCache>
              </c:numRef>
            </c:minus>
          </c:errBars>
          <c:cat>
            <c:strRef>
              <c:f>Sheet4!$B$167:$B$171</c:f>
              <c:strCache>
                <c:ptCount val="5"/>
                <c:pt idx="0">
                  <c:v>Foraging</c:v>
                </c:pt>
                <c:pt idx="1">
                  <c:v>Milling</c:v>
                </c:pt>
                <c:pt idx="2">
                  <c:v>Resting</c:v>
                </c:pt>
                <c:pt idx="3">
                  <c:v>Socializing</c:v>
                </c:pt>
                <c:pt idx="4">
                  <c:v>Traveling</c:v>
                </c:pt>
              </c:strCache>
            </c:strRef>
          </c:cat>
          <c:val>
            <c:numRef>
              <c:f>Sheet4!$C$167:$C$171</c:f>
              <c:numCache>
                <c:formatCode>General</c:formatCode>
                <c:ptCount val="5"/>
                <c:pt idx="0">
                  <c:v>370.07692307692309</c:v>
                </c:pt>
                <c:pt idx="1">
                  <c:v>209.54545454545453</c:v>
                </c:pt>
                <c:pt idx="2">
                  <c:v>292.47826086956519</c:v>
                </c:pt>
                <c:pt idx="3">
                  <c:v>389.6</c:v>
                </c:pt>
                <c:pt idx="4">
                  <c:v>353.05769230769232</c:v>
                </c:pt>
              </c:numCache>
            </c:numRef>
          </c:val>
        </c:ser>
        <c:axId val="107280256"/>
        <c:axId val="107286528"/>
      </c:barChart>
      <c:catAx>
        <c:axId val="107280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</a:t>
                </a:r>
              </a:p>
            </c:rich>
          </c:tx>
          <c:layout/>
        </c:title>
        <c:majorTickMark val="none"/>
        <c:tickLblPos val="nextTo"/>
        <c:crossAx val="107286528"/>
        <c:crosses val="autoZero"/>
        <c:auto val="1"/>
        <c:lblAlgn val="ctr"/>
        <c:lblOffset val="100"/>
      </c:catAx>
      <c:valAx>
        <c:axId val="107286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Clicks per Minute</a:t>
                </a:r>
              </a:p>
            </c:rich>
          </c:tx>
          <c:layout/>
        </c:title>
        <c:numFmt formatCode="General" sourceLinked="1"/>
        <c:tickLblPos val="nextTo"/>
        <c:crossAx val="10728025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Number</a:t>
            </a:r>
            <a:r>
              <a:rPr lang="en-US" baseline="0"/>
              <a:t> of Click Trains Across Behavior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Sheet4!$R$18:$R$22</c:f>
                <c:numCache>
                  <c:formatCode>General</c:formatCode>
                  <c:ptCount val="5"/>
                  <c:pt idx="0">
                    <c:v>0.39164022122903225</c:v>
                  </c:pt>
                  <c:pt idx="1">
                    <c:v>0.29823038354372011</c:v>
                  </c:pt>
                  <c:pt idx="2">
                    <c:v>0.35175644998082201</c:v>
                  </c:pt>
                  <c:pt idx="3">
                    <c:v>0.92736184954957024</c:v>
                  </c:pt>
                  <c:pt idx="4">
                    <c:v>0.41361277882100983</c:v>
                  </c:pt>
                </c:numCache>
              </c:numRef>
            </c:plus>
            <c:minus>
              <c:numRef>
                <c:f>Sheet4!$R$18:$R$22</c:f>
                <c:numCache>
                  <c:formatCode>General</c:formatCode>
                  <c:ptCount val="5"/>
                  <c:pt idx="0">
                    <c:v>0.39164022122903225</c:v>
                  </c:pt>
                  <c:pt idx="1">
                    <c:v>0.29823038354372011</c:v>
                  </c:pt>
                  <c:pt idx="2">
                    <c:v>0.35175644998082201</c:v>
                  </c:pt>
                  <c:pt idx="3">
                    <c:v>0.92736184954957024</c:v>
                  </c:pt>
                  <c:pt idx="4">
                    <c:v>0.41361277882100983</c:v>
                  </c:pt>
                </c:numCache>
              </c:numRef>
            </c:minus>
          </c:errBars>
          <c:cat>
            <c:strRef>
              <c:f>Sheet4!$N$3:$N$7</c:f>
              <c:strCache>
                <c:ptCount val="5"/>
                <c:pt idx="0">
                  <c:v>Foraging</c:v>
                </c:pt>
                <c:pt idx="1">
                  <c:v>Milling</c:v>
                </c:pt>
                <c:pt idx="2">
                  <c:v>Resting</c:v>
                </c:pt>
                <c:pt idx="3">
                  <c:v>Socializing</c:v>
                </c:pt>
                <c:pt idx="4">
                  <c:v>Traveling</c:v>
                </c:pt>
              </c:strCache>
            </c:strRef>
          </c:cat>
          <c:val>
            <c:numRef>
              <c:f>Sheet4!$O$3:$O$7</c:f>
              <c:numCache>
                <c:formatCode>General</c:formatCode>
                <c:ptCount val="5"/>
                <c:pt idx="0">
                  <c:v>3.1538461538461537</c:v>
                </c:pt>
                <c:pt idx="1">
                  <c:v>0.38636363636363635</c:v>
                </c:pt>
                <c:pt idx="2">
                  <c:v>0.13819875776397514</c:v>
                </c:pt>
                <c:pt idx="3">
                  <c:v>0.75</c:v>
                </c:pt>
                <c:pt idx="4">
                  <c:v>0.79807692307692313</c:v>
                </c:pt>
              </c:numCache>
            </c:numRef>
          </c:val>
        </c:ser>
        <c:axId val="107319680"/>
        <c:axId val="107321600"/>
      </c:barChart>
      <c:catAx>
        <c:axId val="107319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</a:t>
                </a:r>
              </a:p>
            </c:rich>
          </c:tx>
          <c:layout/>
        </c:title>
        <c:majorTickMark val="none"/>
        <c:tickLblPos val="nextTo"/>
        <c:crossAx val="107321600"/>
        <c:crosses val="autoZero"/>
        <c:auto val="1"/>
        <c:lblAlgn val="ctr"/>
        <c:lblOffset val="100"/>
      </c:catAx>
      <c:valAx>
        <c:axId val="107321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Click Trains</a:t>
                </a:r>
              </a:p>
            </c:rich>
          </c:tx>
          <c:layout/>
        </c:title>
        <c:numFmt formatCode="General" sourceLinked="1"/>
        <c:tickLblPos val="nextTo"/>
        <c:crossAx val="10731968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v>Foraging click rate vs ambient noise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2.0684619147016071E-2"/>
                  <c:y val="-8.3122240051747093E-2"/>
                </c:manualLayout>
              </c:layout>
              <c:numFmt formatCode="General" sourceLinked="0"/>
            </c:trendlineLbl>
          </c:trendline>
          <c:xVal>
            <c:numRef>
              <c:f>Sheet4!$H$2:$H$53</c:f>
              <c:numCache>
                <c:formatCode>General</c:formatCode>
                <c:ptCount val="52"/>
                <c:pt idx="0">
                  <c:v>96.5</c:v>
                </c:pt>
                <c:pt idx="1">
                  <c:v>97.7</c:v>
                </c:pt>
                <c:pt idx="2">
                  <c:v>97</c:v>
                </c:pt>
                <c:pt idx="3">
                  <c:v>97.8</c:v>
                </c:pt>
                <c:pt idx="4">
                  <c:v>96.2</c:v>
                </c:pt>
                <c:pt idx="5">
                  <c:v>94.6</c:v>
                </c:pt>
                <c:pt idx="6">
                  <c:v>96.6</c:v>
                </c:pt>
                <c:pt idx="7">
                  <c:v>96.8</c:v>
                </c:pt>
                <c:pt idx="8">
                  <c:v>95.8</c:v>
                </c:pt>
                <c:pt idx="9">
                  <c:v>97.6</c:v>
                </c:pt>
                <c:pt idx="10">
                  <c:v>99.5</c:v>
                </c:pt>
                <c:pt idx="11">
                  <c:v>99.5</c:v>
                </c:pt>
                <c:pt idx="12">
                  <c:v>101.9</c:v>
                </c:pt>
                <c:pt idx="13">
                  <c:v>99.6</c:v>
                </c:pt>
                <c:pt idx="14">
                  <c:v>97.5</c:v>
                </c:pt>
                <c:pt idx="15">
                  <c:v>96.9</c:v>
                </c:pt>
                <c:pt idx="16">
                  <c:v>95.5</c:v>
                </c:pt>
                <c:pt idx="17">
                  <c:v>95.1</c:v>
                </c:pt>
                <c:pt idx="18">
                  <c:v>95.6</c:v>
                </c:pt>
                <c:pt idx="19">
                  <c:v>95.1</c:v>
                </c:pt>
                <c:pt idx="20">
                  <c:v>97.7</c:v>
                </c:pt>
                <c:pt idx="21">
                  <c:v>97.5</c:v>
                </c:pt>
                <c:pt idx="22">
                  <c:v>97.8</c:v>
                </c:pt>
                <c:pt idx="23">
                  <c:v>98.6</c:v>
                </c:pt>
                <c:pt idx="24">
                  <c:v>98.9</c:v>
                </c:pt>
                <c:pt idx="25">
                  <c:v>98.3</c:v>
                </c:pt>
                <c:pt idx="26">
                  <c:v>99.3</c:v>
                </c:pt>
                <c:pt idx="27">
                  <c:v>98.5</c:v>
                </c:pt>
                <c:pt idx="28">
                  <c:v>99.4</c:v>
                </c:pt>
                <c:pt idx="29">
                  <c:v>99.4</c:v>
                </c:pt>
                <c:pt idx="30">
                  <c:v>104.5</c:v>
                </c:pt>
                <c:pt idx="31">
                  <c:v>102.7</c:v>
                </c:pt>
                <c:pt idx="32">
                  <c:v>97.1</c:v>
                </c:pt>
                <c:pt idx="33">
                  <c:v>102.5</c:v>
                </c:pt>
                <c:pt idx="34">
                  <c:v>98.4</c:v>
                </c:pt>
                <c:pt idx="35">
                  <c:v>97.5</c:v>
                </c:pt>
                <c:pt idx="36">
                  <c:v>94.4</c:v>
                </c:pt>
                <c:pt idx="37">
                  <c:v>92</c:v>
                </c:pt>
                <c:pt idx="38">
                  <c:v>115.8</c:v>
                </c:pt>
                <c:pt idx="39">
                  <c:v>115.9</c:v>
                </c:pt>
                <c:pt idx="40">
                  <c:v>119.3</c:v>
                </c:pt>
                <c:pt idx="41">
                  <c:v>120.9</c:v>
                </c:pt>
                <c:pt idx="42">
                  <c:v>117.8</c:v>
                </c:pt>
                <c:pt idx="43">
                  <c:v>116.5</c:v>
                </c:pt>
                <c:pt idx="44">
                  <c:v>118.3</c:v>
                </c:pt>
                <c:pt idx="45">
                  <c:v>118.4</c:v>
                </c:pt>
                <c:pt idx="46">
                  <c:v>117.9</c:v>
                </c:pt>
                <c:pt idx="47">
                  <c:v>119.1</c:v>
                </c:pt>
                <c:pt idx="48">
                  <c:v>119.7</c:v>
                </c:pt>
                <c:pt idx="49">
                  <c:v>120.5</c:v>
                </c:pt>
                <c:pt idx="50">
                  <c:v>118.1</c:v>
                </c:pt>
                <c:pt idx="51">
                  <c:v>115.5</c:v>
                </c:pt>
              </c:numCache>
            </c:numRef>
          </c:xVal>
          <c:yVal>
            <c:numRef>
              <c:f>Sheet4!$F$2:$F$53</c:f>
              <c:numCache>
                <c:formatCode>General</c:formatCode>
                <c:ptCount val="52"/>
                <c:pt idx="0">
                  <c:v>114.5</c:v>
                </c:pt>
                <c:pt idx="1">
                  <c:v>72.75</c:v>
                </c:pt>
                <c:pt idx="2">
                  <c:v>92.75</c:v>
                </c:pt>
                <c:pt idx="3">
                  <c:v>132.5</c:v>
                </c:pt>
                <c:pt idx="4">
                  <c:v>82</c:v>
                </c:pt>
                <c:pt idx="5">
                  <c:v>52.666666666666664</c:v>
                </c:pt>
                <c:pt idx="6">
                  <c:v>41</c:v>
                </c:pt>
                <c:pt idx="7">
                  <c:v>57.333333333333336</c:v>
                </c:pt>
                <c:pt idx="8">
                  <c:v>26.5</c:v>
                </c:pt>
                <c:pt idx="9">
                  <c:v>31.666666666666668</c:v>
                </c:pt>
                <c:pt idx="10">
                  <c:v>34.5</c:v>
                </c:pt>
                <c:pt idx="11">
                  <c:v>29.75</c:v>
                </c:pt>
                <c:pt idx="12">
                  <c:v>36.25</c:v>
                </c:pt>
                <c:pt idx="13">
                  <c:v>44.5</c:v>
                </c:pt>
                <c:pt idx="14">
                  <c:v>43.75</c:v>
                </c:pt>
                <c:pt idx="15">
                  <c:v>45.5</c:v>
                </c:pt>
                <c:pt idx="16">
                  <c:v>43.5</c:v>
                </c:pt>
                <c:pt idx="17">
                  <c:v>91.75</c:v>
                </c:pt>
                <c:pt idx="18">
                  <c:v>35.75</c:v>
                </c:pt>
                <c:pt idx="19">
                  <c:v>40.75</c:v>
                </c:pt>
                <c:pt idx="20">
                  <c:v>39</c:v>
                </c:pt>
                <c:pt idx="21">
                  <c:v>8.5</c:v>
                </c:pt>
                <c:pt idx="22">
                  <c:v>30</c:v>
                </c:pt>
                <c:pt idx="23">
                  <c:v>6</c:v>
                </c:pt>
                <c:pt idx="24">
                  <c:v>32</c:v>
                </c:pt>
                <c:pt idx="25">
                  <c:v>13.714285714285714</c:v>
                </c:pt>
                <c:pt idx="26">
                  <c:v>71.714285714285708</c:v>
                </c:pt>
                <c:pt idx="27">
                  <c:v>157</c:v>
                </c:pt>
                <c:pt idx="28">
                  <c:v>166.85714285714286</c:v>
                </c:pt>
                <c:pt idx="29">
                  <c:v>153</c:v>
                </c:pt>
                <c:pt idx="30">
                  <c:v>98</c:v>
                </c:pt>
                <c:pt idx="31">
                  <c:v>50</c:v>
                </c:pt>
                <c:pt idx="32">
                  <c:v>242</c:v>
                </c:pt>
                <c:pt idx="33">
                  <c:v>327.60000000000002</c:v>
                </c:pt>
                <c:pt idx="34">
                  <c:v>119.4</c:v>
                </c:pt>
                <c:pt idx="35">
                  <c:v>215.6</c:v>
                </c:pt>
                <c:pt idx="36">
                  <c:v>186.2</c:v>
                </c:pt>
                <c:pt idx="37">
                  <c:v>93.2</c:v>
                </c:pt>
                <c:pt idx="38">
                  <c:v>82.333333333333329</c:v>
                </c:pt>
                <c:pt idx="39">
                  <c:v>67.333333333333329</c:v>
                </c:pt>
                <c:pt idx="40">
                  <c:v>56</c:v>
                </c:pt>
                <c:pt idx="41">
                  <c:v>48.333333333333336</c:v>
                </c:pt>
                <c:pt idx="42">
                  <c:v>49.666666666666664</c:v>
                </c:pt>
                <c:pt idx="43">
                  <c:v>81</c:v>
                </c:pt>
                <c:pt idx="44">
                  <c:v>38.6</c:v>
                </c:pt>
                <c:pt idx="45">
                  <c:v>50.8</c:v>
                </c:pt>
                <c:pt idx="46">
                  <c:v>34.833333333333336</c:v>
                </c:pt>
                <c:pt idx="47">
                  <c:v>98.5</c:v>
                </c:pt>
                <c:pt idx="48">
                  <c:v>86.5</c:v>
                </c:pt>
                <c:pt idx="49">
                  <c:v>101</c:v>
                </c:pt>
                <c:pt idx="50">
                  <c:v>97.75</c:v>
                </c:pt>
                <c:pt idx="51">
                  <c:v>99</c:v>
                </c:pt>
              </c:numCache>
            </c:numRef>
          </c:yVal>
        </c:ser>
        <c:dLbls/>
        <c:axId val="66085632"/>
        <c:axId val="66055168"/>
      </c:scatterChart>
      <c:valAx>
        <c:axId val="66085632"/>
        <c:scaling>
          <c:orientation val="minMax"/>
          <c:max val="125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055168"/>
        <c:crosses val="autoZero"/>
        <c:crossBetween val="midCat"/>
      </c:valAx>
      <c:valAx>
        <c:axId val="660551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085632"/>
        <c:crosses val="autoZero"/>
        <c:crossBetween val="midCat"/>
      </c:valAx>
      <c:spPr>
        <a:noFill/>
        <a:ln w="25400">
          <a:noFill/>
        </a:ln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v>Milling click rates vs ambient noise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7646361250298259"/>
                  <c:y val="-1.9508811398575177E-2"/>
                </c:manualLayout>
              </c:layout>
              <c:numFmt formatCode="General" sourceLinked="0"/>
            </c:trendlineLbl>
          </c:trendline>
          <c:xVal>
            <c:numRef>
              <c:f>Sheet4!$H$54:$H$75</c:f>
              <c:numCache>
                <c:formatCode>General</c:formatCode>
                <c:ptCount val="22"/>
                <c:pt idx="0">
                  <c:v>116.3</c:v>
                </c:pt>
                <c:pt idx="1">
                  <c:v>113.8</c:v>
                </c:pt>
                <c:pt idx="2">
                  <c:v>116.7</c:v>
                </c:pt>
                <c:pt idx="3">
                  <c:v>115.2</c:v>
                </c:pt>
                <c:pt idx="4">
                  <c:v>113.6</c:v>
                </c:pt>
                <c:pt idx="5">
                  <c:v>114.4</c:v>
                </c:pt>
                <c:pt idx="6">
                  <c:v>115.6</c:v>
                </c:pt>
                <c:pt idx="7">
                  <c:v>111.3</c:v>
                </c:pt>
                <c:pt idx="8">
                  <c:v>115.9</c:v>
                </c:pt>
                <c:pt idx="9">
                  <c:v>118.8</c:v>
                </c:pt>
                <c:pt idx="10">
                  <c:v>116.3</c:v>
                </c:pt>
                <c:pt idx="11">
                  <c:v>116.1</c:v>
                </c:pt>
                <c:pt idx="12">
                  <c:v>117.3</c:v>
                </c:pt>
                <c:pt idx="13">
                  <c:v>115.1</c:v>
                </c:pt>
                <c:pt idx="14">
                  <c:v>113.8</c:v>
                </c:pt>
                <c:pt idx="15">
                  <c:v>114.7</c:v>
                </c:pt>
                <c:pt idx="16">
                  <c:v>112.1</c:v>
                </c:pt>
                <c:pt idx="17">
                  <c:v>115</c:v>
                </c:pt>
                <c:pt idx="18">
                  <c:v>92.2</c:v>
                </c:pt>
                <c:pt idx="19">
                  <c:v>89.7</c:v>
                </c:pt>
                <c:pt idx="20">
                  <c:v>89.7</c:v>
                </c:pt>
                <c:pt idx="21">
                  <c:v>89.5</c:v>
                </c:pt>
              </c:numCache>
            </c:numRef>
          </c:xVal>
          <c:yVal>
            <c:numRef>
              <c:f>Sheet4!$F$54:$F$75</c:f>
              <c:numCache>
                <c:formatCode>General</c:formatCode>
                <c:ptCount val="22"/>
                <c:pt idx="0">
                  <c:v>104.33333333333333</c:v>
                </c:pt>
                <c:pt idx="1">
                  <c:v>112.33333333333333</c:v>
                </c:pt>
                <c:pt idx="2">
                  <c:v>59.833333333333336</c:v>
                </c:pt>
                <c:pt idx="3">
                  <c:v>34.5</c:v>
                </c:pt>
                <c:pt idx="4">
                  <c:v>31</c:v>
                </c:pt>
                <c:pt idx="5">
                  <c:v>29.166666666666668</c:v>
                </c:pt>
                <c:pt idx="6">
                  <c:v>55.666666666666664</c:v>
                </c:pt>
                <c:pt idx="7">
                  <c:v>43.5</c:v>
                </c:pt>
                <c:pt idx="8">
                  <c:v>47.166666666666664</c:v>
                </c:pt>
                <c:pt idx="9">
                  <c:v>65.833333333333329</c:v>
                </c:pt>
                <c:pt idx="10">
                  <c:v>40.666666666666664</c:v>
                </c:pt>
                <c:pt idx="11">
                  <c:v>35.666666666666664</c:v>
                </c:pt>
                <c:pt idx="12">
                  <c:v>35.666666666666664</c:v>
                </c:pt>
                <c:pt idx="13">
                  <c:v>104.66666666666667</c:v>
                </c:pt>
                <c:pt idx="14">
                  <c:v>120</c:v>
                </c:pt>
                <c:pt idx="15">
                  <c:v>62</c:v>
                </c:pt>
                <c:pt idx="16">
                  <c:v>41.666666666666664</c:v>
                </c:pt>
                <c:pt idx="17">
                  <c:v>32.666666666666664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0.66666666666666663</c:v>
                </c:pt>
              </c:numCache>
            </c:numRef>
          </c:yVal>
        </c:ser>
        <c:dLbls/>
        <c:axId val="132856448"/>
        <c:axId val="128124032"/>
      </c:scatterChart>
      <c:valAx>
        <c:axId val="132856448"/>
        <c:scaling>
          <c:orientation val="minMax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8124032"/>
        <c:crosses val="autoZero"/>
        <c:crossBetween val="midCat"/>
      </c:valAx>
      <c:valAx>
        <c:axId val="1281240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</a:t>
                </a:r>
                <a:r>
                  <a:rPr lang="en-US" baseline="0"/>
                  <a:t> Rate/min.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3285644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v>Resting click rates vs ambient noise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681174468576042"/>
                  <c:y val="7.4898931472428508E-3"/>
                </c:manualLayout>
              </c:layout>
              <c:numFmt formatCode="General" sourceLinked="0"/>
            </c:trendlineLbl>
          </c:trendline>
          <c:xVal>
            <c:numRef>
              <c:f>Sheet4!$H$76:$H$98</c:f>
              <c:numCache>
                <c:formatCode>General</c:formatCode>
                <c:ptCount val="23"/>
                <c:pt idx="0">
                  <c:v>89.1</c:v>
                </c:pt>
                <c:pt idx="1">
                  <c:v>89.6</c:v>
                </c:pt>
                <c:pt idx="2">
                  <c:v>89.6</c:v>
                </c:pt>
                <c:pt idx="3">
                  <c:v>89.4</c:v>
                </c:pt>
                <c:pt idx="4">
                  <c:v>89.5</c:v>
                </c:pt>
                <c:pt idx="5">
                  <c:v>89.3</c:v>
                </c:pt>
                <c:pt idx="6">
                  <c:v>89.4</c:v>
                </c:pt>
                <c:pt idx="7">
                  <c:v>89.1</c:v>
                </c:pt>
                <c:pt idx="8">
                  <c:v>89.6</c:v>
                </c:pt>
                <c:pt idx="9">
                  <c:v>89.6</c:v>
                </c:pt>
                <c:pt idx="10">
                  <c:v>89.5</c:v>
                </c:pt>
                <c:pt idx="11">
                  <c:v>89.7</c:v>
                </c:pt>
                <c:pt idx="12">
                  <c:v>111.8</c:v>
                </c:pt>
                <c:pt idx="13">
                  <c:v>111.8</c:v>
                </c:pt>
                <c:pt idx="14">
                  <c:v>113</c:v>
                </c:pt>
                <c:pt idx="15">
                  <c:v>111.9</c:v>
                </c:pt>
                <c:pt idx="16">
                  <c:v>112.4</c:v>
                </c:pt>
                <c:pt idx="17">
                  <c:v>112</c:v>
                </c:pt>
                <c:pt idx="18">
                  <c:v>111.7</c:v>
                </c:pt>
                <c:pt idx="19">
                  <c:v>111.4</c:v>
                </c:pt>
                <c:pt idx="20">
                  <c:v>111.8</c:v>
                </c:pt>
                <c:pt idx="21">
                  <c:v>117.9</c:v>
                </c:pt>
                <c:pt idx="22">
                  <c:v>117</c:v>
                </c:pt>
              </c:numCache>
            </c:numRef>
          </c:xVal>
          <c:yVal>
            <c:numRef>
              <c:f>Sheet4!$F$76:$F$97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2</c:v>
                </c:pt>
                <c:pt idx="8">
                  <c:v>1.3333333333333333</c:v>
                </c:pt>
                <c:pt idx="9">
                  <c:v>0</c:v>
                </c:pt>
                <c:pt idx="10">
                  <c:v>0.66666666666666663</c:v>
                </c:pt>
                <c:pt idx="11">
                  <c:v>0.66666666666666663</c:v>
                </c:pt>
                <c:pt idx="12">
                  <c:v>39.142857142857146</c:v>
                </c:pt>
                <c:pt idx="13">
                  <c:v>37.571428571428569</c:v>
                </c:pt>
                <c:pt idx="14">
                  <c:v>82</c:v>
                </c:pt>
                <c:pt idx="15">
                  <c:v>110.42857142857143</c:v>
                </c:pt>
                <c:pt idx="16">
                  <c:v>87.428571428571431</c:v>
                </c:pt>
                <c:pt idx="17">
                  <c:v>102.42857142857143</c:v>
                </c:pt>
                <c:pt idx="18">
                  <c:v>206.71428571428572</c:v>
                </c:pt>
                <c:pt idx="19">
                  <c:v>86.142857142857139</c:v>
                </c:pt>
                <c:pt idx="20">
                  <c:v>80.142857142857139</c:v>
                </c:pt>
                <c:pt idx="21">
                  <c:v>96.25</c:v>
                </c:pt>
              </c:numCache>
            </c:numRef>
          </c:yVal>
        </c:ser>
        <c:dLbls/>
        <c:axId val="128126336"/>
        <c:axId val="128124800"/>
      </c:scatterChart>
      <c:valAx>
        <c:axId val="128126336"/>
        <c:scaling>
          <c:orientation val="minMax"/>
          <c:max val="125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8124800"/>
        <c:crosses val="autoZero"/>
        <c:crossBetween val="midCat"/>
      </c:valAx>
      <c:valAx>
        <c:axId val="1281248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28126336"/>
        <c:crosses val="autoZero"/>
        <c:crossBetween val="midCat"/>
      </c:valAx>
      <c:spPr>
        <a:noFill/>
        <a:ln w="25400">
          <a:noFill/>
        </a:ln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Socializing click rates vs ambient noise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Socializing click rates vs ambient noise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7346493660123468E-2"/>
                  <c:y val="-0.12391430904185238"/>
                </c:manualLayout>
              </c:layout>
              <c:numFmt formatCode="General" sourceLinked="0"/>
            </c:trendlineLbl>
          </c:trendline>
          <c:xVal>
            <c:numRef>
              <c:f>Sheet4!$H$99:$H$103</c:f>
              <c:numCache>
                <c:formatCode>General</c:formatCode>
                <c:ptCount val="5"/>
                <c:pt idx="0">
                  <c:v>117.1</c:v>
                </c:pt>
                <c:pt idx="1">
                  <c:v>116.1</c:v>
                </c:pt>
                <c:pt idx="2">
                  <c:v>115.8</c:v>
                </c:pt>
                <c:pt idx="3">
                  <c:v>114.7</c:v>
                </c:pt>
                <c:pt idx="4">
                  <c:v>113.6</c:v>
                </c:pt>
              </c:numCache>
            </c:numRef>
          </c:xVal>
          <c:yVal>
            <c:numRef>
              <c:f>Sheet4!$F$99:$F$103</c:f>
              <c:numCache>
                <c:formatCode>General</c:formatCode>
                <c:ptCount val="5"/>
                <c:pt idx="0">
                  <c:v>117.25</c:v>
                </c:pt>
                <c:pt idx="1">
                  <c:v>32.25</c:v>
                </c:pt>
                <c:pt idx="2">
                  <c:v>50.25</c:v>
                </c:pt>
                <c:pt idx="3">
                  <c:v>439.5</c:v>
                </c:pt>
                <c:pt idx="4">
                  <c:v>135</c:v>
                </c:pt>
              </c:numCache>
            </c:numRef>
          </c:yVal>
        </c:ser>
        <c:dLbls/>
        <c:axId val="101360384"/>
        <c:axId val="101358592"/>
      </c:scatterChart>
      <c:valAx>
        <c:axId val="101360384"/>
        <c:scaling>
          <c:orientation val="minMax"/>
          <c:max val="125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58592"/>
        <c:crosses val="autoZero"/>
        <c:crossBetween val="midCat"/>
      </c:valAx>
      <c:valAx>
        <c:axId val="1013585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603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v>Traveling click rate vs ambient noise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066085558410794"/>
                  <c:y val="-3.6490999174013876E-2"/>
                </c:manualLayout>
              </c:layout>
              <c:numFmt formatCode="General" sourceLinked="0"/>
            </c:trendlineLbl>
          </c:trendline>
          <c:xVal>
            <c:numRef>
              <c:f>Sheet4!$H$104:$H$155</c:f>
              <c:numCache>
                <c:formatCode>General</c:formatCode>
                <c:ptCount val="52"/>
                <c:pt idx="0">
                  <c:v>113.4</c:v>
                </c:pt>
                <c:pt idx="1">
                  <c:v>114.4</c:v>
                </c:pt>
                <c:pt idx="2">
                  <c:v>115.9</c:v>
                </c:pt>
                <c:pt idx="3">
                  <c:v>115.9</c:v>
                </c:pt>
                <c:pt idx="4">
                  <c:v>115.7</c:v>
                </c:pt>
                <c:pt idx="5">
                  <c:v>117.4</c:v>
                </c:pt>
                <c:pt idx="6">
                  <c:v>118</c:v>
                </c:pt>
                <c:pt idx="7">
                  <c:v>116.8</c:v>
                </c:pt>
                <c:pt idx="8">
                  <c:v>118.6</c:v>
                </c:pt>
                <c:pt idx="9">
                  <c:v>117.7</c:v>
                </c:pt>
                <c:pt idx="10">
                  <c:v>117.2</c:v>
                </c:pt>
                <c:pt idx="11">
                  <c:v>116.6</c:v>
                </c:pt>
                <c:pt idx="12">
                  <c:v>114.9</c:v>
                </c:pt>
                <c:pt idx="13">
                  <c:v>119.5</c:v>
                </c:pt>
                <c:pt idx="14">
                  <c:v>119.3</c:v>
                </c:pt>
                <c:pt idx="15">
                  <c:v>116</c:v>
                </c:pt>
                <c:pt idx="16">
                  <c:v>118</c:v>
                </c:pt>
                <c:pt idx="17">
                  <c:v>116.6</c:v>
                </c:pt>
                <c:pt idx="18">
                  <c:v>113.4</c:v>
                </c:pt>
                <c:pt idx="19">
                  <c:v>114</c:v>
                </c:pt>
                <c:pt idx="20">
                  <c:v>115</c:v>
                </c:pt>
                <c:pt idx="21">
                  <c:v>115.6</c:v>
                </c:pt>
                <c:pt idx="22">
                  <c:v>115.1</c:v>
                </c:pt>
                <c:pt idx="23">
                  <c:v>115.8</c:v>
                </c:pt>
                <c:pt idx="24">
                  <c:v>116.7</c:v>
                </c:pt>
                <c:pt idx="25">
                  <c:v>117.4</c:v>
                </c:pt>
                <c:pt idx="26">
                  <c:v>116.8</c:v>
                </c:pt>
                <c:pt idx="27">
                  <c:v>121.6</c:v>
                </c:pt>
                <c:pt idx="28">
                  <c:v>114.4</c:v>
                </c:pt>
                <c:pt idx="29">
                  <c:v>124.8</c:v>
                </c:pt>
                <c:pt idx="30">
                  <c:v>120.8</c:v>
                </c:pt>
                <c:pt idx="31">
                  <c:v>116</c:v>
                </c:pt>
                <c:pt idx="32">
                  <c:v>113.6</c:v>
                </c:pt>
                <c:pt idx="33">
                  <c:v>118.4</c:v>
                </c:pt>
                <c:pt idx="34">
                  <c:v>118.1</c:v>
                </c:pt>
                <c:pt idx="35">
                  <c:v>118.5</c:v>
                </c:pt>
                <c:pt idx="36">
                  <c:v>118.1</c:v>
                </c:pt>
                <c:pt idx="37">
                  <c:v>118.5</c:v>
                </c:pt>
                <c:pt idx="38">
                  <c:v>116.1</c:v>
                </c:pt>
                <c:pt idx="39">
                  <c:v>114.3</c:v>
                </c:pt>
                <c:pt idx="40">
                  <c:v>115.8</c:v>
                </c:pt>
                <c:pt idx="41">
                  <c:v>114.7</c:v>
                </c:pt>
                <c:pt idx="42">
                  <c:v>114.3</c:v>
                </c:pt>
                <c:pt idx="43">
                  <c:v>113.7</c:v>
                </c:pt>
                <c:pt idx="44">
                  <c:v>113.8</c:v>
                </c:pt>
                <c:pt idx="45">
                  <c:v>113.3</c:v>
                </c:pt>
                <c:pt idx="46">
                  <c:v>114.9</c:v>
                </c:pt>
                <c:pt idx="47">
                  <c:v>116.1</c:v>
                </c:pt>
                <c:pt idx="48">
                  <c:v>114.7</c:v>
                </c:pt>
                <c:pt idx="49">
                  <c:v>115.6</c:v>
                </c:pt>
                <c:pt idx="50">
                  <c:v>113.6</c:v>
                </c:pt>
                <c:pt idx="51">
                  <c:v>114.4</c:v>
                </c:pt>
              </c:numCache>
            </c:numRef>
          </c:xVal>
          <c:yVal>
            <c:numRef>
              <c:f>Sheet4!$F$104:$F$155</c:f>
              <c:numCache>
                <c:formatCode>General</c:formatCode>
                <c:ptCount val="52"/>
                <c:pt idx="0">
                  <c:v>306</c:v>
                </c:pt>
                <c:pt idx="1">
                  <c:v>721.5</c:v>
                </c:pt>
                <c:pt idx="2">
                  <c:v>235</c:v>
                </c:pt>
                <c:pt idx="3">
                  <c:v>235</c:v>
                </c:pt>
                <c:pt idx="4">
                  <c:v>497.5</c:v>
                </c:pt>
                <c:pt idx="5">
                  <c:v>207</c:v>
                </c:pt>
                <c:pt idx="6">
                  <c:v>422</c:v>
                </c:pt>
                <c:pt idx="7">
                  <c:v>263.5</c:v>
                </c:pt>
                <c:pt idx="8">
                  <c:v>0</c:v>
                </c:pt>
                <c:pt idx="9">
                  <c:v>6.416666666666667</c:v>
                </c:pt>
                <c:pt idx="10">
                  <c:v>5.916666666666667</c:v>
                </c:pt>
                <c:pt idx="11">
                  <c:v>9.5</c:v>
                </c:pt>
                <c:pt idx="12">
                  <c:v>8.5833333333333339</c:v>
                </c:pt>
                <c:pt idx="13">
                  <c:v>3.0833333333333335</c:v>
                </c:pt>
                <c:pt idx="14">
                  <c:v>10.333333333333334</c:v>
                </c:pt>
                <c:pt idx="15">
                  <c:v>11.833333333333334</c:v>
                </c:pt>
                <c:pt idx="16">
                  <c:v>9.4166666666666661</c:v>
                </c:pt>
                <c:pt idx="17">
                  <c:v>6</c:v>
                </c:pt>
                <c:pt idx="18">
                  <c:v>5.083333333333333</c:v>
                </c:pt>
                <c:pt idx="19">
                  <c:v>10.583333333333334</c:v>
                </c:pt>
                <c:pt idx="20">
                  <c:v>3.5833333333333335</c:v>
                </c:pt>
                <c:pt idx="21">
                  <c:v>0.91666666666666663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8.3333333333333329E-2</c:v>
                </c:pt>
                <c:pt idx="25">
                  <c:v>0.1</c:v>
                </c:pt>
                <c:pt idx="26">
                  <c:v>0.1</c:v>
                </c:pt>
                <c:pt idx="27">
                  <c:v>0</c:v>
                </c:pt>
                <c:pt idx="28">
                  <c:v>0.1</c:v>
                </c:pt>
                <c:pt idx="29">
                  <c:v>0</c:v>
                </c:pt>
                <c:pt idx="30">
                  <c:v>0.2</c:v>
                </c:pt>
                <c:pt idx="31">
                  <c:v>653.5</c:v>
                </c:pt>
                <c:pt idx="32">
                  <c:v>324.75</c:v>
                </c:pt>
                <c:pt idx="33">
                  <c:v>222.75</c:v>
                </c:pt>
                <c:pt idx="34">
                  <c:v>273.5</c:v>
                </c:pt>
                <c:pt idx="35">
                  <c:v>197</c:v>
                </c:pt>
                <c:pt idx="36">
                  <c:v>126.75</c:v>
                </c:pt>
                <c:pt idx="37">
                  <c:v>78</c:v>
                </c:pt>
                <c:pt idx="38">
                  <c:v>62.5</c:v>
                </c:pt>
                <c:pt idx="39">
                  <c:v>47</c:v>
                </c:pt>
                <c:pt idx="40">
                  <c:v>90</c:v>
                </c:pt>
                <c:pt idx="41">
                  <c:v>68.25</c:v>
                </c:pt>
                <c:pt idx="42">
                  <c:v>140.25</c:v>
                </c:pt>
                <c:pt idx="43">
                  <c:v>108.25</c:v>
                </c:pt>
                <c:pt idx="44">
                  <c:v>79.5</c:v>
                </c:pt>
                <c:pt idx="45">
                  <c:v>78.5</c:v>
                </c:pt>
                <c:pt idx="46">
                  <c:v>120</c:v>
                </c:pt>
                <c:pt idx="47">
                  <c:v>123</c:v>
                </c:pt>
                <c:pt idx="48">
                  <c:v>120</c:v>
                </c:pt>
                <c:pt idx="49">
                  <c:v>191</c:v>
                </c:pt>
                <c:pt idx="50">
                  <c:v>57</c:v>
                </c:pt>
                <c:pt idx="51">
                  <c:v>25.5</c:v>
                </c:pt>
              </c:numCache>
            </c:numRef>
          </c:yVal>
        </c:ser>
        <c:dLbls/>
        <c:axId val="131961984"/>
        <c:axId val="101363072"/>
      </c:scatterChart>
      <c:valAx>
        <c:axId val="131961984"/>
        <c:scaling>
          <c:orientation val="minMax"/>
          <c:max val="125"/>
          <c:min val="8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Noise (dB)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1363072"/>
        <c:crosses val="autoZero"/>
        <c:crossBetween val="midCat"/>
      </c:valAx>
      <c:valAx>
        <c:axId val="1013630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19619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158</xdr:row>
      <xdr:rowOff>9524</xdr:rowOff>
    </xdr:from>
    <xdr:to>
      <xdr:col>13</xdr:col>
      <xdr:colOff>533400</xdr:colOff>
      <xdr:row>176</xdr:row>
      <xdr:rowOff>114299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1019175</xdr:colOff>
      <xdr:row>189</xdr:row>
      <xdr:rowOff>114300</xdr:rowOff>
    </xdr:from>
    <xdr:to>
      <xdr:col>8</xdr:col>
      <xdr:colOff>304800</xdr:colOff>
      <xdr:row>204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1047750</xdr:colOff>
      <xdr:row>206</xdr:row>
      <xdr:rowOff>38100</xdr:rowOff>
    </xdr:from>
    <xdr:to>
      <xdr:col>8</xdr:col>
      <xdr:colOff>333375</xdr:colOff>
      <xdr:row>220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428625</xdr:colOff>
      <xdr:row>2</xdr:row>
      <xdr:rowOff>0</xdr:rowOff>
    </xdr:from>
    <xdr:to>
      <xdr:col>27</xdr:col>
      <xdr:colOff>304800</xdr:colOff>
      <xdr:row>16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447675</xdr:colOff>
      <xdr:row>61</xdr:row>
      <xdr:rowOff>104774</xdr:rowOff>
    </xdr:from>
    <xdr:to>
      <xdr:col>25</xdr:col>
      <xdr:colOff>419100</xdr:colOff>
      <xdr:row>72</xdr:row>
      <xdr:rowOff>19049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180975</xdr:colOff>
      <xdr:row>60</xdr:row>
      <xdr:rowOff>133350</xdr:rowOff>
    </xdr:from>
    <xdr:to>
      <xdr:col>18</xdr:col>
      <xdr:colOff>238125</xdr:colOff>
      <xdr:row>71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77</xdr:row>
      <xdr:rowOff>142874</xdr:rowOff>
    </xdr:from>
    <xdr:to>
      <xdr:col>17</xdr:col>
      <xdr:colOff>238125</xdr:colOff>
      <xdr:row>88</xdr:row>
      <xdr:rowOff>57149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85724</xdr:colOff>
      <xdr:row>75</xdr:row>
      <xdr:rowOff>57151</xdr:rowOff>
    </xdr:from>
    <xdr:to>
      <xdr:col>25</xdr:col>
      <xdr:colOff>419099</xdr:colOff>
      <xdr:row>86</xdr:row>
      <xdr:rowOff>180975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142875</xdr:colOff>
      <xdr:row>88</xdr:row>
      <xdr:rowOff>28574</xdr:rowOff>
    </xdr:from>
    <xdr:to>
      <xdr:col>25</xdr:col>
      <xdr:colOff>542924</xdr:colOff>
      <xdr:row>99</xdr:row>
      <xdr:rowOff>161925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238124</xdr:colOff>
      <xdr:row>72</xdr:row>
      <xdr:rowOff>161924</xdr:rowOff>
    </xdr:from>
    <xdr:to>
      <xdr:col>36</xdr:col>
      <xdr:colOff>552449</xdr:colOff>
      <xdr:row>89</xdr:row>
      <xdr:rowOff>114299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9525</xdr:colOff>
      <xdr:row>23</xdr:row>
      <xdr:rowOff>57150</xdr:rowOff>
    </xdr:from>
    <xdr:to>
      <xdr:col>24</xdr:col>
      <xdr:colOff>314325</xdr:colOff>
      <xdr:row>37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</xdr:row>
      <xdr:rowOff>38100</xdr:rowOff>
    </xdr:from>
    <xdr:to>
      <xdr:col>15</xdr:col>
      <xdr:colOff>19050</xdr:colOff>
      <xdr:row>21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24</xdr:row>
      <xdr:rowOff>0</xdr:rowOff>
    </xdr:from>
    <xdr:to>
      <xdr:col>14</xdr:col>
      <xdr:colOff>428625</xdr:colOff>
      <xdr:row>38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180975</xdr:rowOff>
    </xdr:from>
    <xdr:to>
      <xdr:col>5</xdr:col>
      <xdr:colOff>942975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1143000</xdr:colOff>
      <xdr:row>18</xdr:row>
      <xdr:rowOff>95250</xdr:rowOff>
    </xdr:from>
    <xdr:to>
      <xdr:col>9</xdr:col>
      <xdr:colOff>1171575</xdr:colOff>
      <xdr:row>32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28"/>
  <sheetViews>
    <sheetView tabSelected="1" workbookViewId="0">
      <pane ySplit="1" topLeftCell="A154" activePane="bottomLeft" state="frozen"/>
      <selection pane="bottomLeft" activeCell="AB93" sqref="AB93"/>
    </sheetView>
  </sheetViews>
  <sheetFormatPr defaultRowHeight="15"/>
  <cols>
    <col min="1" max="1" width="11.42578125" style="1" customWidth="1"/>
    <col min="2" max="2" width="13.5703125" style="1" customWidth="1"/>
    <col min="3" max="3" width="16" style="1" customWidth="1"/>
    <col min="4" max="4" width="17.28515625" style="1" customWidth="1"/>
    <col min="5" max="5" width="14.42578125" style="1" customWidth="1"/>
    <col min="6" max="6" width="15.28515625" style="1" customWidth="1"/>
    <col min="7" max="7" width="12.28515625" style="1" customWidth="1"/>
    <col min="8" max="8" width="20" style="1" customWidth="1"/>
    <col min="9" max="9" width="18.85546875" style="1" customWidth="1"/>
    <col min="10" max="11" width="18.85546875" style="28" customWidth="1"/>
    <col min="12" max="12" width="14.5703125" style="1" customWidth="1"/>
    <col min="14" max="14" width="13.5703125" customWidth="1"/>
    <col min="17" max="17" width="11.85546875" customWidth="1"/>
  </cols>
  <sheetData>
    <row r="1" spans="1:19" s="20" customFormat="1">
      <c r="A1" s="21" t="s">
        <v>6</v>
      </c>
      <c r="B1" s="21" t="s">
        <v>0</v>
      </c>
      <c r="C1" s="21" t="s">
        <v>52</v>
      </c>
      <c r="D1" s="21" t="s">
        <v>50</v>
      </c>
      <c r="E1" s="21" t="s">
        <v>4</v>
      </c>
      <c r="F1" s="21" t="s">
        <v>51</v>
      </c>
      <c r="G1" s="21" t="s">
        <v>53</v>
      </c>
      <c r="H1" s="21" t="s">
        <v>54</v>
      </c>
      <c r="I1" s="21" t="s">
        <v>80</v>
      </c>
      <c r="J1" s="40" t="s">
        <v>225</v>
      </c>
      <c r="K1" s="40"/>
      <c r="L1" s="20" t="s">
        <v>86</v>
      </c>
    </row>
    <row r="2" spans="1:19">
      <c r="A2" s="24">
        <v>40437</v>
      </c>
      <c r="B2" s="1" t="s">
        <v>24</v>
      </c>
      <c r="C2" s="1">
        <v>15</v>
      </c>
      <c r="D2" s="1">
        <v>458</v>
      </c>
      <c r="E2" s="1">
        <v>4</v>
      </c>
      <c r="F2" s="1">
        <f>D2/E2</f>
        <v>114.5</v>
      </c>
      <c r="G2" s="1" t="s">
        <v>36</v>
      </c>
      <c r="H2" s="1">
        <f>159+(-62.5)</f>
        <v>96.5</v>
      </c>
      <c r="I2" s="1">
        <v>6</v>
      </c>
      <c r="J2" s="28">
        <f>I2/E2</f>
        <v>1.5</v>
      </c>
      <c r="L2" s="1">
        <f>(((-52.3)+(-62.9)+(-54.7)+(-58.5)+(-50.3)+(-54.7)+(-56)+(-50.4)+(-57.7)+(-57.8)+(-60.5)+(-54.6))/12)/-61.4</f>
        <v>0.90988056460369171</v>
      </c>
      <c r="N2" s="31" t="s">
        <v>215</v>
      </c>
      <c r="O2" s="32"/>
    </row>
    <row r="3" spans="1:19">
      <c r="B3" s="1" t="s">
        <v>58</v>
      </c>
      <c r="C3" s="1">
        <v>14</v>
      </c>
      <c r="D3" s="1">
        <v>291</v>
      </c>
      <c r="E3" s="1">
        <v>4</v>
      </c>
      <c r="F3" s="1">
        <f t="shared" ref="F3:F60" si="0">D3/E3</f>
        <v>72.75</v>
      </c>
      <c r="G3" s="1" t="s">
        <v>36</v>
      </c>
      <c r="H3" s="1">
        <f>(-61.3)+159</f>
        <v>97.7</v>
      </c>
      <c r="I3" s="1">
        <v>5</v>
      </c>
      <c r="J3" s="28">
        <f t="shared" ref="J3:J66" si="1">I3/E3</f>
        <v>1.25</v>
      </c>
      <c r="N3" s="30" t="s">
        <v>36</v>
      </c>
      <c r="O3" s="30">
        <f>AVERAGE(I2:I53)</f>
        <v>3.1538461538461537</v>
      </c>
    </row>
    <row r="4" spans="1:19">
      <c r="B4" s="1" t="s">
        <v>30</v>
      </c>
      <c r="C4" s="1">
        <v>22</v>
      </c>
      <c r="D4" s="1">
        <v>371</v>
      </c>
      <c r="E4" s="1">
        <v>4</v>
      </c>
      <c r="F4" s="1">
        <f t="shared" si="0"/>
        <v>92.75</v>
      </c>
      <c r="G4" s="1" t="s">
        <v>36</v>
      </c>
      <c r="H4" s="1">
        <f>(-62)+159</f>
        <v>97</v>
      </c>
      <c r="I4" s="1">
        <v>3</v>
      </c>
      <c r="J4" s="28">
        <f t="shared" si="1"/>
        <v>0.75</v>
      </c>
      <c r="N4" s="30" t="s">
        <v>115</v>
      </c>
      <c r="O4" s="30">
        <f>AVERAGE(J54:J75)</f>
        <v>0.38636363636363635</v>
      </c>
    </row>
    <row r="5" spans="1:19">
      <c r="B5" s="1" t="s">
        <v>31</v>
      </c>
      <c r="C5" s="1">
        <v>11</v>
      </c>
      <c r="D5" s="1">
        <v>530</v>
      </c>
      <c r="E5" s="1">
        <v>4</v>
      </c>
      <c r="F5" s="1">
        <f t="shared" si="0"/>
        <v>132.5</v>
      </c>
      <c r="G5" s="1" t="s">
        <v>36</v>
      </c>
      <c r="H5" s="1">
        <f>(-61.2)+159</f>
        <v>97.8</v>
      </c>
      <c r="I5" s="1">
        <v>4</v>
      </c>
      <c r="J5" s="28">
        <f t="shared" si="1"/>
        <v>1</v>
      </c>
      <c r="N5" s="30" t="s">
        <v>179</v>
      </c>
      <c r="O5" s="30">
        <f>AVERAGE(J76:J98)</f>
        <v>0.13819875776397514</v>
      </c>
    </row>
    <row r="6" spans="1:19">
      <c r="B6" s="1" t="s">
        <v>32</v>
      </c>
      <c r="C6" s="1">
        <v>16</v>
      </c>
      <c r="D6" s="1">
        <v>328</v>
      </c>
      <c r="E6" s="1">
        <v>4</v>
      </c>
      <c r="F6" s="1">
        <f t="shared" si="0"/>
        <v>82</v>
      </c>
      <c r="G6" s="1" t="s">
        <v>36</v>
      </c>
      <c r="H6" s="1">
        <f>(-62.8)+159</f>
        <v>96.2</v>
      </c>
      <c r="I6" s="1">
        <v>5</v>
      </c>
      <c r="J6" s="28">
        <f t="shared" si="1"/>
        <v>1.25</v>
      </c>
      <c r="N6" s="30" t="s">
        <v>161</v>
      </c>
      <c r="O6" s="30">
        <f>AVERAGE(J99:J103)</f>
        <v>0.75</v>
      </c>
    </row>
    <row r="7" spans="1:19">
      <c r="B7" s="1" t="s">
        <v>33</v>
      </c>
      <c r="C7" s="1">
        <v>10</v>
      </c>
      <c r="D7" s="1">
        <v>316</v>
      </c>
      <c r="E7" s="1">
        <v>6</v>
      </c>
      <c r="F7" s="1">
        <f t="shared" si="0"/>
        <v>52.666666666666664</v>
      </c>
      <c r="G7" s="1" t="s">
        <v>36</v>
      </c>
      <c r="H7" s="1">
        <f>(-64.4)+159</f>
        <v>94.6</v>
      </c>
      <c r="I7" s="1">
        <v>4</v>
      </c>
      <c r="J7" s="28">
        <f t="shared" si="1"/>
        <v>0.66666666666666663</v>
      </c>
      <c r="N7" s="30" t="s">
        <v>84</v>
      </c>
      <c r="O7" s="30">
        <f>AVERAGE(J104:J155)</f>
        <v>0.79807692307692313</v>
      </c>
    </row>
    <row r="8" spans="1:19">
      <c r="B8" s="1" t="s">
        <v>59</v>
      </c>
      <c r="C8" s="1">
        <v>30</v>
      </c>
      <c r="D8" s="1">
        <v>246</v>
      </c>
      <c r="E8" s="1">
        <v>6</v>
      </c>
      <c r="F8" s="1">
        <f t="shared" si="0"/>
        <v>41</v>
      </c>
      <c r="G8" s="1" t="s">
        <v>36</v>
      </c>
      <c r="H8" s="1">
        <f>(-62.4)+159</f>
        <v>96.6</v>
      </c>
      <c r="I8" s="1">
        <v>6</v>
      </c>
      <c r="J8" s="28">
        <f t="shared" si="1"/>
        <v>1</v>
      </c>
    </row>
    <row r="9" spans="1:19">
      <c r="B9" s="1" t="s">
        <v>60</v>
      </c>
      <c r="C9" s="1">
        <v>10</v>
      </c>
      <c r="D9" s="1">
        <v>344</v>
      </c>
      <c r="E9" s="1">
        <v>6</v>
      </c>
      <c r="F9" s="1">
        <f t="shared" si="0"/>
        <v>57.333333333333336</v>
      </c>
      <c r="G9" s="1" t="s">
        <v>36</v>
      </c>
      <c r="H9" s="1">
        <f>(-62.2)+159</f>
        <v>96.8</v>
      </c>
      <c r="I9" s="1">
        <v>3</v>
      </c>
      <c r="J9" s="28">
        <f t="shared" si="1"/>
        <v>0.5</v>
      </c>
      <c r="N9" s="33" t="s">
        <v>216</v>
      </c>
      <c r="O9" s="33"/>
      <c r="Q9" s="34" t="s">
        <v>210</v>
      </c>
      <c r="R9" s="34"/>
      <c r="S9" s="27" t="s">
        <v>211</v>
      </c>
    </row>
    <row r="10" spans="1:19">
      <c r="B10" s="1" t="s">
        <v>61</v>
      </c>
      <c r="C10" s="1">
        <v>15</v>
      </c>
      <c r="D10" s="1">
        <v>159</v>
      </c>
      <c r="E10" s="1">
        <v>6</v>
      </c>
      <c r="F10" s="1">
        <f t="shared" si="0"/>
        <v>26.5</v>
      </c>
      <c r="G10" s="1" t="s">
        <v>36</v>
      </c>
      <c r="H10" s="1">
        <f>(-63.2)+159</f>
        <v>95.8</v>
      </c>
      <c r="I10" s="1">
        <v>2</v>
      </c>
      <c r="J10" s="28">
        <f t="shared" si="1"/>
        <v>0.33333333333333331</v>
      </c>
      <c r="N10" t="s">
        <v>36</v>
      </c>
      <c r="O10">
        <f>STDEV(I2:I53)</f>
        <v>2.8241577983506723</v>
      </c>
      <c r="Q10" s="27" t="s">
        <v>36</v>
      </c>
      <c r="R10" s="27">
        <v>52</v>
      </c>
      <c r="S10" s="27">
        <f>SQRT(R10)</f>
        <v>7.2111025509279782</v>
      </c>
    </row>
    <row r="11" spans="1:19">
      <c r="B11" s="1" t="s">
        <v>62</v>
      </c>
      <c r="C11" s="1">
        <v>16</v>
      </c>
      <c r="D11" s="1">
        <v>190</v>
      </c>
      <c r="E11" s="1">
        <v>6</v>
      </c>
      <c r="F11" s="1">
        <f t="shared" si="0"/>
        <v>31.666666666666668</v>
      </c>
      <c r="G11" s="1" t="s">
        <v>36</v>
      </c>
      <c r="H11" s="1">
        <f>(-61.4)+159</f>
        <v>97.6</v>
      </c>
      <c r="I11" s="1">
        <v>4</v>
      </c>
      <c r="J11" s="28">
        <f t="shared" si="1"/>
        <v>0.66666666666666663</v>
      </c>
      <c r="N11" t="s">
        <v>115</v>
      </c>
      <c r="O11">
        <f>STDEV(I54:I75)</f>
        <v>1.3988244910316507</v>
      </c>
      <c r="Q11" s="27" t="s">
        <v>115</v>
      </c>
      <c r="R11" s="27">
        <v>22</v>
      </c>
      <c r="S11" s="27">
        <f>SQRT(R11)</f>
        <v>4.6904157598234297</v>
      </c>
    </row>
    <row r="12" spans="1:19">
      <c r="B12" s="1" t="s">
        <v>63</v>
      </c>
      <c r="C12" s="1">
        <v>10</v>
      </c>
      <c r="D12" s="1">
        <v>138</v>
      </c>
      <c r="E12" s="1">
        <v>4</v>
      </c>
      <c r="F12" s="1">
        <f t="shared" si="0"/>
        <v>34.5</v>
      </c>
      <c r="G12" s="1" t="s">
        <v>36</v>
      </c>
      <c r="H12" s="1">
        <f>(-59.5)+159</f>
        <v>99.5</v>
      </c>
      <c r="I12" s="1">
        <v>2</v>
      </c>
      <c r="J12" s="28">
        <f t="shared" si="1"/>
        <v>0.5</v>
      </c>
      <c r="N12" t="s">
        <v>179</v>
      </c>
      <c r="O12">
        <f>STDEV(I76:I98)</f>
        <v>1.6869646713465998</v>
      </c>
      <c r="Q12" s="27" t="s">
        <v>179</v>
      </c>
      <c r="R12" s="27">
        <v>23</v>
      </c>
      <c r="S12" s="27">
        <f>SQRT(R12)</f>
        <v>4.7958315233127191</v>
      </c>
    </row>
    <row r="13" spans="1:19">
      <c r="B13" s="1" t="s">
        <v>64</v>
      </c>
      <c r="C13" s="1">
        <v>10</v>
      </c>
      <c r="D13" s="1">
        <v>119</v>
      </c>
      <c r="E13" s="1">
        <v>4</v>
      </c>
      <c r="F13" s="1">
        <f t="shared" si="0"/>
        <v>29.75</v>
      </c>
      <c r="G13" s="1" t="s">
        <v>36</v>
      </c>
      <c r="H13" s="1">
        <f>(-59.5)+159</f>
        <v>99.5</v>
      </c>
      <c r="I13" s="1">
        <v>0</v>
      </c>
      <c r="J13" s="28">
        <f t="shared" si="1"/>
        <v>0</v>
      </c>
      <c r="N13" t="s">
        <v>161</v>
      </c>
      <c r="O13">
        <f>STDEV(I99:I103)</f>
        <v>2.0736441353327719</v>
      </c>
      <c r="Q13" s="27" t="s">
        <v>161</v>
      </c>
      <c r="R13" s="27">
        <v>5</v>
      </c>
      <c r="S13" s="27">
        <f>SQRT(R13)</f>
        <v>2.2360679774997898</v>
      </c>
    </row>
    <row r="14" spans="1:19">
      <c r="B14" s="1" t="s">
        <v>65</v>
      </c>
      <c r="C14" s="1">
        <v>15</v>
      </c>
      <c r="D14" s="1">
        <v>145</v>
      </c>
      <c r="E14" s="1">
        <v>4</v>
      </c>
      <c r="F14" s="1">
        <f t="shared" si="0"/>
        <v>36.25</v>
      </c>
      <c r="G14" s="1" t="s">
        <v>36</v>
      </c>
      <c r="H14" s="1">
        <f>(-57.1)+159</f>
        <v>101.9</v>
      </c>
      <c r="I14" s="1">
        <v>0</v>
      </c>
      <c r="J14" s="28">
        <f t="shared" si="1"/>
        <v>0</v>
      </c>
      <c r="N14" t="s">
        <v>84</v>
      </c>
      <c r="O14">
        <f>STDEV(I104:I155)</f>
        <v>2.9826041644525936</v>
      </c>
      <c r="Q14" s="27" t="s">
        <v>84</v>
      </c>
      <c r="R14" s="27">
        <v>52</v>
      </c>
      <c r="S14" s="27">
        <f>SQRT(R14)</f>
        <v>7.2111025509279782</v>
      </c>
    </row>
    <row r="15" spans="1:19">
      <c r="B15" s="1" t="s">
        <v>66</v>
      </c>
      <c r="C15" s="1">
        <v>15</v>
      </c>
      <c r="D15" s="1">
        <v>178</v>
      </c>
      <c r="E15" s="1">
        <v>4</v>
      </c>
      <c r="F15" s="1">
        <f t="shared" si="0"/>
        <v>44.5</v>
      </c>
      <c r="G15" s="1" t="s">
        <v>36</v>
      </c>
      <c r="H15" s="1">
        <f>(-59.4)+159</f>
        <v>99.6</v>
      </c>
      <c r="I15" s="1">
        <v>0</v>
      </c>
      <c r="J15" s="28">
        <f t="shared" si="1"/>
        <v>0</v>
      </c>
    </row>
    <row r="16" spans="1:19">
      <c r="B16" s="1" t="s">
        <v>67</v>
      </c>
      <c r="C16" s="1">
        <v>10</v>
      </c>
      <c r="D16" s="1">
        <v>175</v>
      </c>
      <c r="E16" s="1">
        <v>4</v>
      </c>
      <c r="F16" s="1">
        <f t="shared" si="0"/>
        <v>43.75</v>
      </c>
      <c r="G16" s="1" t="s">
        <v>36</v>
      </c>
      <c r="H16" s="1">
        <f>(-61.5)+159</f>
        <v>97.5</v>
      </c>
      <c r="I16" s="1">
        <v>1</v>
      </c>
      <c r="J16" s="28">
        <f t="shared" si="1"/>
        <v>0.25</v>
      </c>
    </row>
    <row r="17" spans="1:18">
      <c r="B17" s="1" t="s">
        <v>68</v>
      </c>
      <c r="C17" s="1">
        <v>10</v>
      </c>
      <c r="D17" s="1">
        <v>182</v>
      </c>
      <c r="E17" s="1">
        <v>4</v>
      </c>
      <c r="F17" s="1">
        <f t="shared" si="0"/>
        <v>45.5</v>
      </c>
      <c r="G17" s="1" t="s">
        <v>36</v>
      </c>
      <c r="H17" s="1">
        <f>(-62.1)+159</f>
        <v>96.9</v>
      </c>
      <c r="I17" s="1">
        <v>2</v>
      </c>
      <c r="J17" s="28">
        <f t="shared" si="1"/>
        <v>0.5</v>
      </c>
      <c r="Q17" s="34" t="s">
        <v>217</v>
      </c>
      <c r="R17" s="34"/>
    </row>
    <row r="18" spans="1:18">
      <c r="B18" s="1" t="s">
        <v>69</v>
      </c>
      <c r="C18" s="1">
        <v>11</v>
      </c>
      <c r="D18" s="1">
        <v>174</v>
      </c>
      <c r="E18" s="1">
        <v>4</v>
      </c>
      <c r="F18" s="1">
        <f t="shared" si="0"/>
        <v>43.5</v>
      </c>
      <c r="G18" s="1" t="s">
        <v>36</v>
      </c>
      <c r="H18" s="1">
        <f>(-63.5)+159</f>
        <v>95.5</v>
      </c>
      <c r="I18" s="1">
        <v>6</v>
      </c>
      <c r="J18" s="28">
        <f t="shared" si="1"/>
        <v>1.5</v>
      </c>
      <c r="Q18" s="30" t="s">
        <v>36</v>
      </c>
      <c r="R18" s="30">
        <f>O10/S10</f>
        <v>0.39164022122903225</v>
      </c>
    </row>
    <row r="19" spans="1:18">
      <c r="B19" s="1" t="s">
        <v>70</v>
      </c>
      <c r="C19" s="1">
        <v>15</v>
      </c>
      <c r="D19" s="1">
        <v>367</v>
      </c>
      <c r="E19" s="1">
        <v>4</v>
      </c>
      <c r="F19" s="1">
        <f t="shared" si="0"/>
        <v>91.75</v>
      </c>
      <c r="G19" s="1" t="s">
        <v>36</v>
      </c>
      <c r="H19" s="1">
        <f>(-63.9)+159</f>
        <v>95.1</v>
      </c>
      <c r="I19" s="1">
        <v>0</v>
      </c>
      <c r="J19" s="28">
        <f t="shared" si="1"/>
        <v>0</v>
      </c>
      <c r="Q19" s="30" t="s">
        <v>115</v>
      </c>
      <c r="R19" s="30">
        <f>O11/S11</f>
        <v>0.29823038354372011</v>
      </c>
    </row>
    <row r="20" spans="1:18">
      <c r="B20" s="1" t="s">
        <v>71</v>
      </c>
      <c r="C20" s="1">
        <v>8</v>
      </c>
      <c r="D20" s="1">
        <v>143</v>
      </c>
      <c r="E20" s="1">
        <v>4</v>
      </c>
      <c r="F20" s="1">
        <f t="shared" si="0"/>
        <v>35.75</v>
      </c>
      <c r="G20" s="1" t="s">
        <v>36</v>
      </c>
      <c r="H20" s="1">
        <f>(-63.4)+159</f>
        <v>95.6</v>
      </c>
      <c r="I20" s="1">
        <v>7</v>
      </c>
      <c r="J20" s="28">
        <f t="shared" si="1"/>
        <v>1.75</v>
      </c>
      <c r="Q20" s="30" t="s">
        <v>179</v>
      </c>
      <c r="R20" s="30">
        <f>O12/S12</f>
        <v>0.35175644998082201</v>
      </c>
    </row>
    <row r="21" spans="1:18">
      <c r="B21" s="1" t="s">
        <v>72</v>
      </c>
      <c r="C21" s="1">
        <v>9</v>
      </c>
      <c r="D21" s="1">
        <v>163</v>
      </c>
      <c r="E21" s="1">
        <v>4</v>
      </c>
      <c r="F21" s="1">
        <f t="shared" si="0"/>
        <v>40.75</v>
      </c>
      <c r="G21" s="1" t="s">
        <v>36</v>
      </c>
      <c r="H21" s="1">
        <f>(-63.9)+159</f>
        <v>95.1</v>
      </c>
      <c r="I21" s="1">
        <v>2</v>
      </c>
      <c r="J21" s="28">
        <f t="shared" si="1"/>
        <v>0.5</v>
      </c>
      <c r="Q21" s="30" t="s">
        <v>161</v>
      </c>
      <c r="R21" s="30">
        <f>O13/S13</f>
        <v>0.92736184954957024</v>
      </c>
    </row>
    <row r="22" spans="1:18">
      <c r="B22" s="1" t="s">
        <v>73</v>
      </c>
      <c r="C22" s="1">
        <v>8</v>
      </c>
      <c r="D22" s="1">
        <v>156</v>
      </c>
      <c r="E22" s="1">
        <v>4</v>
      </c>
      <c r="F22" s="1">
        <f t="shared" si="0"/>
        <v>39</v>
      </c>
      <c r="G22" s="1" t="s">
        <v>36</v>
      </c>
      <c r="H22" s="1">
        <f>(-61.3)+159</f>
        <v>97.7</v>
      </c>
      <c r="I22" s="1">
        <v>6</v>
      </c>
      <c r="J22" s="28">
        <f t="shared" si="1"/>
        <v>1.5</v>
      </c>
      <c r="Q22" s="30" t="s">
        <v>84</v>
      </c>
      <c r="R22" s="30">
        <f>O14/S14</f>
        <v>0.41361277882100983</v>
      </c>
    </row>
    <row r="23" spans="1:18">
      <c r="B23" s="1" t="s">
        <v>74</v>
      </c>
      <c r="C23" s="1">
        <v>3</v>
      </c>
      <c r="D23" s="1">
        <v>34</v>
      </c>
      <c r="E23" s="1">
        <v>4</v>
      </c>
      <c r="F23" s="1">
        <f t="shared" si="0"/>
        <v>8.5</v>
      </c>
      <c r="G23" s="1" t="s">
        <v>36</v>
      </c>
      <c r="H23" s="1">
        <f>(-61.5)+159</f>
        <v>97.5</v>
      </c>
      <c r="I23" s="1">
        <v>0</v>
      </c>
      <c r="J23" s="28">
        <f t="shared" si="1"/>
        <v>0</v>
      </c>
    </row>
    <row r="24" spans="1:18">
      <c r="B24" s="1" t="s">
        <v>75</v>
      </c>
      <c r="C24" s="1">
        <v>10</v>
      </c>
      <c r="D24" s="1">
        <v>120</v>
      </c>
      <c r="E24" s="1">
        <v>4</v>
      </c>
      <c r="F24" s="1">
        <f t="shared" si="0"/>
        <v>30</v>
      </c>
      <c r="G24" s="1" t="s">
        <v>36</v>
      </c>
      <c r="H24" s="1">
        <f>(-61.2)+159</f>
        <v>97.8</v>
      </c>
      <c r="I24" s="1">
        <v>4</v>
      </c>
      <c r="J24" s="28">
        <f t="shared" si="1"/>
        <v>1</v>
      </c>
    </row>
    <row r="25" spans="1:18">
      <c r="B25" s="1" t="s">
        <v>76</v>
      </c>
      <c r="C25" s="1">
        <v>18</v>
      </c>
      <c r="D25" s="1">
        <v>24</v>
      </c>
      <c r="E25" s="1">
        <v>4</v>
      </c>
      <c r="F25" s="1">
        <f t="shared" si="0"/>
        <v>6</v>
      </c>
      <c r="G25" s="1" t="s">
        <v>36</v>
      </c>
      <c r="H25" s="1">
        <f>(-60.4)+159</f>
        <v>98.6</v>
      </c>
      <c r="I25" s="1">
        <v>0</v>
      </c>
      <c r="J25" s="28">
        <f t="shared" si="1"/>
        <v>0</v>
      </c>
    </row>
    <row r="26" spans="1:18">
      <c r="B26" s="1" t="s">
        <v>77</v>
      </c>
      <c r="C26" s="1">
        <v>9</v>
      </c>
      <c r="D26" s="1">
        <v>128</v>
      </c>
      <c r="E26" s="1">
        <v>4</v>
      </c>
      <c r="F26" s="1">
        <f t="shared" si="0"/>
        <v>32</v>
      </c>
      <c r="G26" s="1" t="s">
        <v>36</v>
      </c>
      <c r="H26" s="1">
        <f>(-60.1)+159</f>
        <v>98.9</v>
      </c>
      <c r="I26" s="1">
        <v>3</v>
      </c>
      <c r="J26" s="28">
        <f t="shared" si="1"/>
        <v>0.75</v>
      </c>
      <c r="N26" s="34" t="s">
        <v>226</v>
      </c>
      <c r="O26" s="34"/>
    </row>
    <row r="27" spans="1:18">
      <c r="B27" s="1" t="s">
        <v>35</v>
      </c>
      <c r="C27" s="1">
        <v>9</v>
      </c>
      <c r="D27" s="1">
        <v>96</v>
      </c>
      <c r="E27" s="1">
        <v>7</v>
      </c>
      <c r="F27" s="1">
        <f t="shared" si="0"/>
        <v>13.714285714285714</v>
      </c>
      <c r="G27" s="1" t="s">
        <v>36</v>
      </c>
      <c r="H27" s="1">
        <f>(-60.7)+159</f>
        <v>98.3</v>
      </c>
      <c r="I27" s="1">
        <v>0</v>
      </c>
      <c r="J27" s="28">
        <f t="shared" si="1"/>
        <v>0</v>
      </c>
      <c r="N27" s="30" t="s">
        <v>36</v>
      </c>
      <c r="O27" s="30">
        <f>AVERAGE(J2:J53)</f>
        <v>0.70924908424908417</v>
      </c>
    </row>
    <row r="28" spans="1:18">
      <c r="B28" s="1" t="s">
        <v>38</v>
      </c>
      <c r="C28" s="1">
        <v>19</v>
      </c>
      <c r="D28" s="1">
        <v>502</v>
      </c>
      <c r="E28" s="1">
        <v>7</v>
      </c>
      <c r="F28" s="1">
        <f t="shared" si="0"/>
        <v>71.714285714285708</v>
      </c>
      <c r="G28" s="1" t="s">
        <v>36</v>
      </c>
      <c r="H28" s="1">
        <f>(-59.7)+159</f>
        <v>99.3</v>
      </c>
      <c r="I28" s="1">
        <v>1</v>
      </c>
      <c r="J28" s="28">
        <f t="shared" si="1"/>
        <v>0.14285714285714285</v>
      </c>
      <c r="N28" s="30" t="s">
        <v>115</v>
      </c>
      <c r="O28" s="30">
        <f>AVERAGE(J54:J75)</f>
        <v>0.38636363636363635</v>
      </c>
    </row>
    <row r="29" spans="1:18">
      <c r="B29" s="1" t="s">
        <v>42</v>
      </c>
      <c r="C29" s="1">
        <v>44</v>
      </c>
      <c r="D29" s="1">
        <v>1099</v>
      </c>
      <c r="E29" s="1">
        <v>7</v>
      </c>
      <c r="F29" s="1">
        <f t="shared" si="0"/>
        <v>157</v>
      </c>
      <c r="G29" s="1" t="s">
        <v>36</v>
      </c>
      <c r="H29" s="1">
        <f>(-60.5)+159</f>
        <v>98.5</v>
      </c>
      <c r="I29" s="1">
        <v>5</v>
      </c>
      <c r="J29" s="28">
        <f t="shared" si="1"/>
        <v>0.7142857142857143</v>
      </c>
      <c r="N29" s="30" t="s">
        <v>179</v>
      </c>
      <c r="O29" s="30">
        <f>AVERAGE(J76:J98)</f>
        <v>0.13819875776397514</v>
      </c>
    </row>
    <row r="30" spans="1:18">
      <c r="B30" s="1" t="s">
        <v>78</v>
      </c>
      <c r="C30" s="1">
        <v>69</v>
      </c>
      <c r="D30" s="1">
        <v>1168</v>
      </c>
      <c r="E30" s="1">
        <v>7</v>
      </c>
      <c r="F30" s="1">
        <f t="shared" si="0"/>
        <v>166.85714285714286</v>
      </c>
      <c r="G30" s="1" t="s">
        <v>36</v>
      </c>
      <c r="H30" s="1">
        <f>(-59.6)+159</f>
        <v>99.4</v>
      </c>
      <c r="I30" s="1">
        <v>6</v>
      </c>
      <c r="J30" s="28">
        <f t="shared" si="1"/>
        <v>0.8571428571428571</v>
      </c>
      <c r="N30" s="30" t="s">
        <v>161</v>
      </c>
      <c r="O30" s="30">
        <f>AVERAGE(J99:J103)</f>
        <v>0.75</v>
      </c>
    </row>
    <row r="31" spans="1:18">
      <c r="A31" s="25"/>
      <c r="B31" s="1" t="s">
        <v>79</v>
      </c>
      <c r="C31" s="1">
        <v>13</v>
      </c>
      <c r="D31" s="1">
        <v>1071</v>
      </c>
      <c r="E31" s="1">
        <v>7</v>
      </c>
      <c r="F31" s="1">
        <f t="shared" si="0"/>
        <v>153</v>
      </c>
      <c r="G31" s="1" t="s">
        <v>36</v>
      </c>
      <c r="H31" s="1">
        <f>(-59.6)+159</f>
        <v>99.4</v>
      </c>
      <c r="I31" s="1">
        <v>7</v>
      </c>
      <c r="J31" s="28">
        <f t="shared" si="1"/>
        <v>1</v>
      </c>
      <c r="N31" s="30" t="s">
        <v>84</v>
      </c>
      <c r="O31" s="30">
        <f>AVERAGE(J104:J155)</f>
        <v>0.79807692307692313</v>
      </c>
    </row>
    <row r="32" spans="1:18">
      <c r="A32" s="25"/>
      <c r="B32" s="25" t="s">
        <v>156</v>
      </c>
      <c r="C32" s="1">
        <v>54</v>
      </c>
      <c r="D32" s="1">
        <v>490</v>
      </c>
      <c r="E32" s="1">
        <v>5</v>
      </c>
      <c r="F32" s="1">
        <f t="shared" si="0"/>
        <v>98</v>
      </c>
      <c r="G32" s="1" t="s">
        <v>36</v>
      </c>
      <c r="H32" s="1">
        <f>(-54.5)+159</f>
        <v>104.5</v>
      </c>
      <c r="I32" s="1">
        <v>7</v>
      </c>
      <c r="J32" s="28">
        <f t="shared" si="1"/>
        <v>1.4</v>
      </c>
    </row>
    <row r="33" spans="1:15">
      <c r="A33" s="25"/>
      <c r="B33" s="25" t="s">
        <v>157</v>
      </c>
      <c r="C33" s="1">
        <v>24</v>
      </c>
      <c r="D33" s="1">
        <v>250</v>
      </c>
      <c r="E33" s="1">
        <v>5</v>
      </c>
      <c r="F33" s="1">
        <f t="shared" si="0"/>
        <v>50</v>
      </c>
      <c r="G33" s="1" t="s">
        <v>36</v>
      </c>
      <c r="H33" s="1">
        <f>(-56.3)+159</f>
        <v>102.7</v>
      </c>
      <c r="I33" s="1">
        <v>3</v>
      </c>
      <c r="J33" s="28">
        <f t="shared" si="1"/>
        <v>0.6</v>
      </c>
      <c r="N33" s="34" t="s">
        <v>227</v>
      </c>
      <c r="O33" s="34"/>
    </row>
    <row r="34" spans="1:15">
      <c r="A34" s="25"/>
      <c r="B34" s="25" t="s">
        <v>158</v>
      </c>
      <c r="C34" s="1">
        <v>29</v>
      </c>
      <c r="D34" s="1">
        <v>1210</v>
      </c>
      <c r="E34" s="1">
        <v>5</v>
      </c>
      <c r="F34" s="1">
        <f t="shared" si="0"/>
        <v>242</v>
      </c>
      <c r="G34" s="1" t="s">
        <v>36</v>
      </c>
      <c r="H34" s="1">
        <f>(-61.9)+159</f>
        <v>97.1</v>
      </c>
      <c r="I34" s="1">
        <v>7</v>
      </c>
      <c r="J34" s="28">
        <f t="shared" si="1"/>
        <v>1.4</v>
      </c>
      <c r="N34" s="30" t="s">
        <v>36</v>
      </c>
      <c r="O34" s="30">
        <f>STDEV(J2:J53)</f>
        <v>0.61514601377035627</v>
      </c>
    </row>
    <row r="35" spans="1:15">
      <c r="A35" s="25"/>
      <c r="B35" s="25" t="s">
        <v>159</v>
      </c>
      <c r="C35" s="1">
        <v>74</v>
      </c>
      <c r="D35" s="1">
        <v>1638</v>
      </c>
      <c r="E35" s="1">
        <v>5</v>
      </c>
      <c r="F35" s="1">
        <f t="shared" si="0"/>
        <v>327.60000000000002</v>
      </c>
      <c r="G35" s="1" t="s">
        <v>36</v>
      </c>
      <c r="H35" s="1">
        <f>(-56.5)+159</f>
        <v>102.5</v>
      </c>
      <c r="I35" s="1">
        <v>9</v>
      </c>
      <c r="J35" s="28">
        <f t="shared" si="1"/>
        <v>1.8</v>
      </c>
      <c r="N35" s="30" t="s">
        <v>228</v>
      </c>
      <c r="O35" s="30">
        <f>STDEV(J54:J75)</f>
        <v>0.40298608834274585</v>
      </c>
    </row>
    <row r="36" spans="1:15">
      <c r="A36" s="25"/>
      <c r="B36" s="25" t="s">
        <v>160</v>
      </c>
      <c r="C36" s="1">
        <v>103</v>
      </c>
      <c r="D36" s="1">
        <v>597</v>
      </c>
      <c r="E36" s="1">
        <v>5</v>
      </c>
      <c r="F36" s="1">
        <f t="shared" si="0"/>
        <v>119.4</v>
      </c>
      <c r="G36" s="1" t="s">
        <v>36</v>
      </c>
      <c r="H36" s="1">
        <f>(-60.6)+159</f>
        <v>98.4</v>
      </c>
      <c r="I36" s="1">
        <v>5</v>
      </c>
      <c r="J36" s="28">
        <f t="shared" si="1"/>
        <v>1</v>
      </c>
      <c r="N36" s="30" t="s">
        <v>229</v>
      </c>
      <c r="O36" s="30">
        <f>STDEV(J76:J98)</f>
        <v>0.26732725679348857</v>
      </c>
    </row>
    <row r="37" spans="1:15">
      <c r="B37" s="1" t="s">
        <v>81</v>
      </c>
      <c r="C37" s="1">
        <v>11</v>
      </c>
      <c r="D37" s="1">
        <v>1078</v>
      </c>
      <c r="E37" s="1">
        <v>5</v>
      </c>
      <c r="F37" s="1">
        <f t="shared" si="0"/>
        <v>215.6</v>
      </c>
      <c r="G37" s="1" t="s">
        <v>36</v>
      </c>
      <c r="H37" s="1">
        <f>(-61.5)+159</f>
        <v>97.5</v>
      </c>
      <c r="I37" s="1">
        <v>13</v>
      </c>
      <c r="J37" s="28">
        <f t="shared" si="1"/>
        <v>2.6</v>
      </c>
      <c r="N37" s="30" t="s">
        <v>230</v>
      </c>
      <c r="O37" s="30">
        <f>STDEV(J99:J103)</f>
        <v>1.0606601717798212</v>
      </c>
    </row>
    <row r="38" spans="1:15">
      <c r="B38" s="1" t="s">
        <v>82</v>
      </c>
      <c r="C38" s="1">
        <v>19</v>
      </c>
      <c r="D38" s="1">
        <v>931</v>
      </c>
      <c r="E38" s="1">
        <v>5</v>
      </c>
      <c r="F38" s="1">
        <f t="shared" si="0"/>
        <v>186.2</v>
      </c>
      <c r="G38" s="1" t="s">
        <v>36</v>
      </c>
      <c r="H38" s="1">
        <f>(-64.6)+159</f>
        <v>94.4</v>
      </c>
      <c r="I38" s="1">
        <v>4</v>
      </c>
      <c r="J38" s="28">
        <f t="shared" si="1"/>
        <v>0.8</v>
      </c>
      <c r="N38" s="30" t="s">
        <v>231</v>
      </c>
      <c r="O38" s="30">
        <f>STDEV(J104:J155)</f>
        <v>1.4177087818184837</v>
      </c>
    </row>
    <row r="39" spans="1:15">
      <c r="B39" s="1" t="s">
        <v>83</v>
      </c>
      <c r="C39" s="1">
        <v>11</v>
      </c>
      <c r="D39" s="1">
        <v>466</v>
      </c>
      <c r="E39" s="1">
        <v>5</v>
      </c>
      <c r="F39" s="1">
        <f t="shared" si="0"/>
        <v>93.2</v>
      </c>
      <c r="G39" s="1" t="s">
        <v>36</v>
      </c>
      <c r="H39" s="1">
        <f>(-67)+159</f>
        <v>92</v>
      </c>
      <c r="I39" s="1">
        <v>2</v>
      </c>
      <c r="J39" s="28">
        <f t="shared" si="1"/>
        <v>0.4</v>
      </c>
    </row>
    <row r="40" spans="1:15">
      <c r="A40" s="24">
        <v>40441</v>
      </c>
      <c r="B40" s="1" t="s">
        <v>85</v>
      </c>
      <c r="C40" s="1" t="s">
        <v>132</v>
      </c>
      <c r="D40" s="1">
        <v>247</v>
      </c>
      <c r="E40" s="1">
        <v>3</v>
      </c>
      <c r="F40" s="1">
        <f t="shared" si="0"/>
        <v>82.333333333333329</v>
      </c>
      <c r="G40" s="1" t="s">
        <v>36</v>
      </c>
      <c r="H40" s="1">
        <f>(-43.2)+159</f>
        <v>115.8</v>
      </c>
      <c r="I40" s="1">
        <v>0</v>
      </c>
      <c r="J40" s="28">
        <f t="shared" si="1"/>
        <v>0</v>
      </c>
      <c r="L40" s="1">
        <f>(((-41.9)+(-38)+(-39.9)+(-37.4)+(-43.7)+(-36.5)+(-40.6)+(-42)+(-40.9)+(-42.1)+(-36.3)+(42.1))/12)/(-43.1)</f>
        <v>0.76798143851508116</v>
      </c>
    </row>
    <row r="41" spans="1:15">
      <c r="B41" s="1" t="s">
        <v>87</v>
      </c>
      <c r="C41" s="1" t="s">
        <v>132</v>
      </c>
      <c r="D41" s="1">
        <v>202</v>
      </c>
      <c r="E41" s="1">
        <v>3</v>
      </c>
      <c r="F41" s="1">
        <f t="shared" si="0"/>
        <v>67.333333333333329</v>
      </c>
      <c r="G41" s="1" t="s">
        <v>36</v>
      </c>
      <c r="H41" s="1">
        <f>(-43.1)+159</f>
        <v>115.9</v>
      </c>
      <c r="I41" s="1">
        <v>2</v>
      </c>
      <c r="J41" s="28">
        <f t="shared" si="1"/>
        <v>0.66666666666666663</v>
      </c>
      <c r="N41" s="34" t="s">
        <v>232</v>
      </c>
      <c r="O41" s="34"/>
    </row>
    <row r="42" spans="1:15">
      <c r="B42" s="1" t="s">
        <v>49</v>
      </c>
      <c r="C42" s="1" t="s">
        <v>132</v>
      </c>
      <c r="D42" s="1">
        <v>168</v>
      </c>
      <c r="E42" s="1">
        <v>3</v>
      </c>
      <c r="F42" s="1">
        <f t="shared" si="0"/>
        <v>56</v>
      </c>
      <c r="G42" s="1" t="s">
        <v>36</v>
      </c>
      <c r="H42" s="1">
        <f>(-39.7)+159</f>
        <v>119.3</v>
      </c>
      <c r="I42" s="1">
        <v>0</v>
      </c>
      <c r="J42" s="28">
        <f t="shared" si="1"/>
        <v>0</v>
      </c>
      <c r="N42" s="30" t="s">
        <v>36</v>
      </c>
      <c r="O42" s="30">
        <f>O34/S10</f>
        <v>8.5305403636396035E-2</v>
      </c>
    </row>
    <row r="43" spans="1:15">
      <c r="B43" s="1" t="s">
        <v>46</v>
      </c>
      <c r="C43" s="1" t="s">
        <v>132</v>
      </c>
      <c r="D43" s="1">
        <v>145</v>
      </c>
      <c r="E43" s="1">
        <v>3</v>
      </c>
      <c r="F43" s="1">
        <f t="shared" si="0"/>
        <v>48.333333333333336</v>
      </c>
      <c r="G43" s="1" t="s">
        <v>36</v>
      </c>
      <c r="H43" s="1">
        <f>(-38.1)+159</f>
        <v>120.9</v>
      </c>
      <c r="I43" s="1">
        <v>0</v>
      </c>
      <c r="J43" s="28">
        <f t="shared" si="1"/>
        <v>0</v>
      </c>
      <c r="N43" s="30" t="s">
        <v>228</v>
      </c>
      <c r="O43" s="30">
        <f>O35/S11</f>
        <v>8.5916922716018723E-2</v>
      </c>
    </row>
    <row r="44" spans="1:15">
      <c r="B44" s="1" t="s">
        <v>88</v>
      </c>
      <c r="C44" s="1" t="s">
        <v>132</v>
      </c>
      <c r="D44" s="1">
        <v>149</v>
      </c>
      <c r="E44" s="1">
        <v>3</v>
      </c>
      <c r="F44" s="1">
        <f t="shared" si="0"/>
        <v>49.666666666666664</v>
      </c>
      <c r="G44" s="1" t="s">
        <v>36</v>
      </c>
      <c r="H44" s="1">
        <f>(-41.2)+159</f>
        <v>117.8</v>
      </c>
      <c r="I44" s="1">
        <v>1</v>
      </c>
      <c r="J44" s="28">
        <f t="shared" si="1"/>
        <v>0.33333333333333331</v>
      </c>
      <c r="N44" s="30" t="s">
        <v>229</v>
      </c>
      <c r="O44" s="30">
        <f>O36/S12</f>
        <v>5.5741586311779431E-2</v>
      </c>
    </row>
    <row r="45" spans="1:15">
      <c r="B45" s="1" t="s">
        <v>89</v>
      </c>
      <c r="C45" s="1" t="s">
        <v>132</v>
      </c>
      <c r="D45" s="1">
        <v>243</v>
      </c>
      <c r="E45" s="1">
        <v>3</v>
      </c>
      <c r="F45" s="1">
        <f t="shared" si="0"/>
        <v>81</v>
      </c>
      <c r="G45" s="1" t="s">
        <v>36</v>
      </c>
      <c r="H45" s="1">
        <f>(-42.5)+159</f>
        <v>116.5</v>
      </c>
      <c r="I45" s="1">
        <v>2</v>
      </c>
      <c r="J45" s="28">
        <f t="shared" si="1"/>
        <v>0.66666666666666663</v>
      </c>
      <c r="N45" s="30" t="s">
        <v>230</v>
      </c>
      <c r="O45" s="30">
        <f>O37/S13</f>
        <v>0.47434164902525683</v>
      </c>
    </row>
    <row r="46" spans="1:15">
      <c r="B46" s="1" t="s">
        <v>90</v>
      </c>
      <c r="C46" s="1" t="s">
        <v>132</v>
      </c>
      <c r="D46" s="1">
        <v>193</v>
      </c>
      <c r="E46" s="1">
        <v>5</v>
      </c>
      <c r="F46" s="1">
        <f t="shared" si="0"/>
        <v>38.6</v>
      </c>
      <c r="G46" s="1" t="s">
        <v>36</v>
      </c>
      <c r="H46" s="1">
        <f>(-40.7)+159</f>
        <v>118.3</v>
      </c>
      <c r="I46" s="1">
        <v>0</v>
      </c>
      <c r="J46" s="28">
        <f t="shared" si="1"/>
        <v>0</v>
      </c>
      <c r="N46" s="30" t="s">
        <v>231</v>
      </c>
      <c r="O46" s="30">
        <f>O38/S14</f>
        <v>0.19660083486623586</v>
      </c>
    </row>
    <row r="47" spans="1:15">
      <c r="B47" s="1" t="s">
        <v>91</v>
      </c>
      <c r="C47" s="1" t="s">
        <v>132</v>
      </c>
      <c r="D47" s="1">
        <v>254</v>
      </c>
      <c r="E47" s="1">
        <v>5</v>
      </c>
      <c r="F47" s="1">
        <f t="shared" si="0"/>
        <v>50.8</v>
      </c>
      <c r="G47" s="1" t="s">
        <v>36</v>
      </c>
      <c r="H47" s="1">
        <f>(-40.6)+159</f>
        <v>118.4</v>
      </c>
      <c r="I47" s="1">
        <v>0</v>
      </c>
      <c r="J47" s="28">
        <f t="shared" si="1"/>
        <v>0</v>
      </c>
      <c r="N47" s="41"/>
      <c r="O47" s="41"/>
    </row>
    <row r="48" spans="1:15">
      <c r="B48" s="1" t="s">
        <v>92</v>
      </c>
      <c r="C48" s="1" t="s">
        <v>132</v>
      </c>
      <c r="D48" s="1">
        <v>209</v>
      </c>
      <c r="E48" s="1">
        <v>6</v>
      </c>
      <c r="F48" s="1">
        <f t="shared" si="0"/>
        <v>34.833333333333336</v>
      </c>
      <c r="G48" s="1" t="s">
        <v>36</v>
      </c>
      <c r="H48" s="1">
        <f>(-41.1)+159</f>
        <v>117.9</v>
      </c>
      <c r="I48" s="1">
        <v>2</v>
      </c>
      <c r="J48" s="28">
        <f t="shared" si="1"/>
        <v>0.33333333333333331</v>
      </c>
    </row>
    <row r="49" spans="2:30">
      <c r="B49" s="1" t="s">
        <v>93</v>
      </c>
      <c r="C49" s="1" t="s">
        <v>132</v>
      </c>
      <c r="D49" s="1">
        <v>197</v>
      </c>
      <c r="E49" s="1">
        <v>2</v>
      </c>
      <c r="F49" s="1">
        <f t="shared" si="0"/>
        <v>98.5</v>
      </c>
      <c r="G49" s="1" t="s">
        <v>36</v>
      </c>
      <c r="H49" s="1">
        <f>(-39.9)+159</f>
        <v>119.1</v>
      </c>
      <c r="I49" s="1">
        <v>1</v>
      </c>
      <c r="J49" s="28">
        <f t="shared" si="1"/>
        <v>0.5</v>
      </c>
    </row>
    <row r="50" spans="2:30">
      <c r="B50" s="1" t="s">
        <v>94</v>
      </c>
      <c r="C50" s="1" t="s">
        <v>132</v>
      </c>
      <c r="D50" s="1">
        <v>173</v>
      </c>
      <c r="E50" s="1">
        <v>2</v>
      </c>
      <c r="F50" s="1">
        <f t="shared" si="0"/>
        <v>86.5</v>
      </c>
      <c r="G50" s="1" t="s">
        <v>36</v>
      </c>
      <c r="H50" s="1">
        <f>(-39.3)+159</f>
        <v>119.7</v>
      </c>
      <c r="I50" s="1">
        <v>2</v>
      </c>
      <c r="J50" s="28">
        <f t="shared" si="1"/>
        <v>1</v>
      </c>
    </row>
    <row r="51" spans="2:30">
      <c r="B51" s="1" t="s">
        <v>95</v>
      </c>
      <c r="C51" s="1" t="s">
        <v>132</v>
      </c>
      <c r="D51" s="1">
        <v>202</v>
      </c>
      <c r="E51" s="1">
        <v>2</v>
      </c>
      <c r="F51" s="1">
        <f t="shared" si="0"/>
        <v>101</v>
      </c>
      <c r="G51" s="1" t="s">
        <v>36</v>
      </c>
      <c r="H51" s="1">
        <f>(-38.5)+159</f>
        <v>120.5</v>
      </c>
      <c r="I51" s="1">
        <v>4</v>
      </c>
      <c r="J51" s="28">
        <f t="shared" si="1"/>
        <v>2</v>
      </c>
    </row>
    <row r="52" spans="2:30">
      <c r="B52" s="1" t="s">
        <v>96</v>
      </c>
      <c r="C52" s="1" t="s">
        <v>132</v>
      </c>
      <c r="D52" s="1">
        <v>391</v>
      </c>
      <c r="E52" s="1">
        <v>4</v>
      </c>
      <c r="F52" s="1">
        <f t="shared" si="0"/>
        <v>97.75</v>
      </c>
      <c r="G52" s="1" t="s">
        <v>36</v>
      </c>
      <c r="H52" s="1">
        <f>(-40.9)+159</f>
        <v>118.1</v>
      </c>
      <c r="I52" s="1">
        <v>5</v>
      </c>
      <c r="J52" s="28">
        <f t="shared" si="1"/>
        <v>1.25</v>
      </c>
    </row>
    <row r="53" spans="2:30">
      <c r="B53" s="1" t="s">
        <v>97</v>
      </c>
      <c r="C53" s="1" t="s">
        <v>132</v>
      </c>
      <c r="D53" s="1">
        <v>396</v>
      </c>
      <c r="E53" s="1">
        <v>4</v>
      </c>
      <c r="F53" s="1">
        <f t="shared" si="0"/>
        <v>99</v>
      </c>
      <c r="G53" s="1" t="s">
        <v>36</v>
      </c>
      <c r="H53" s="1">
        <f>(-43.5)+159</f>
        <v>115.5</v>
      </c>
      <c r="I53" s="1">
        <v>1</v>
      </c>
      <c r="J53" s="28">
        <f t="shared" si="1"/>
        <v>0.25</v>
      </c>
    </row>
    <row r="54" spans="2:30">
      <c r="B54" s="1" t="s">
        <v>98</v>
      </c>
      <c r="C54" s="1" t="s">
        <v>132</v>
      </c>
      <c r="D54" s="1">
        <v>313</v>
      </c>
      <c r="E54" s="1">
        <v>3</v>
      </c>
      <c r="F54" s="1">
        <f t="shared" si="0"/>
        <v>104.33333333333333</v>
      </c>
      <c r="G54" s="1" t="s">
        <v>115</v>
      </c>
      <c r="H54" s="1">
        <f>(-42.7)+159</f>
        <v>116.3</v>
      </c>
      <c r="I54" s="1">
        <v>0</v>
      </c>
      <c r="J54" s="28">
        <f t="shared" si="1"/>
        <v>0</v>
      </c>
    </row>
    <row r="55" spans="2:30">
      <c r="B55" s="1" t="s">
        <v>99</v>
      </c>
      <c r="C55" s="1" t="s">
        <v>132</v>
      </c>
      <c r="D55" s="1">
        <v>337</v>
      </c>
      <c r="E55" s="1">
        <v>3</v>
      </c>
      <c r="F55" s="1">
        <f t="shared" si="0"/>
        <v>112.33333333333333</v>
      </c>
      <c r="G55" s="1" t="s">
        <v>115</v>
      </c>
      <c r="H55" s="1">
        <f>(-45.2)+159</f>
        <v>113.8</v>
      </c>
      <c r="I55" s="1">
        <v>1</v>
      </c>
      <c r="J55" s="28">
        <f t="shared" si="1"/>
        <v>0.33333333333333331</v>
      </c>
    </row>
    <row r="56" spans="2:30">
      <c r="B56" s="1" t="s">
        <v>100</v>
      </c>
      <c r="C56" s="1" t="s">
        <v>132</v>
      </c>
      <c r="D56" s="1">
        <v>359</v>
      </c>
      <c r="E56" s="1">
        <v>6</v>
      </c>
      <c r="F56" s="1">
        <f t="shared" si="0"/>
        <v>59.833333333333336</v>
      </c>
      <c r="G56" s="1" t="s">
        <v>115</v>
      </c>
      <c r="H56" s="1">
        <f>(-42.3)+159</f>
        <v>116.7</v>
      </c>
      <c r="I56" s="1">
        <v>1</v>
      </c>
      <c r="J56" s="28">
        <f t="shared" si="1"/>
        <v>0.16666666666666666</v>
      </c>
    </row>
    <row r="57" spans="2:30">
      <c r="B57" s="1" t="s">
        <v>101</v>
      </c>
      <c r="C57" s="1" t="s">
        <v>132</v>
      </c>
      <c r="D57" s="1">
        <v>207</v>
      </c>
      <c r="E57" s="1">
        <v>6</v>
      </c>
      <c r="F57" s="1">
        <f t="shared" si="0"/>
        <v>34.5</v>
      </c>
      <c r="G57" s="1" t="s">
        <v>115</v>
      </c>
      <c r="H57" s="1">
        <f>(-43.8)+159</f>
        <v>115.2</v>
      </c>
      <c r="I57" s="1">
        <v>2</v>
      </c>
      <c r="J57" s="28">
        <f t="shared" si="1"/>
        <v>0.33333333333333331</v>
      </c>
    </row>
    <row r="58" spans="2:30">
      <c r="B58" s="1" t="s">
        <v>102</v>
      </c>
      <c r="C58" s="1" t="s">
        <v>132</v>
      </c>
      <c r="D58" s="1">
        <v>186</v>
      </c>
      <c r="E58" s="1">
        <v>6</v>
      </c>
      <c r="F58" s="1">
        <f t="shared" si="0"/>
        <v>31</v>
      </c>
      <c r="G58" s="1" t="s">
        <v>115</v>
      </c>
      <c r="H58" s="1">
        <f>(-45.4)+159</f>
        <v>113.6</v>
      </c>
      <c r="I58" s="1">
        <v>2</v>
      </c>
      <c r="J58" s="28">
        <f t="shared" si="1"/>
        <v>0.33333333333333331</v>
      </c>
    </row>
    <row r="59" spans="2:30">
      <c r="B59" s="1" t="s">
        <v>103</v>
      </c>
      <c r="C59" s="1" t="s">
        <v>132</v>
      </c>
      <c r="D59" s="1">
        <v>175</v>
      </c>
      <c r="E59" s="1">
        <v>6</v>
      </c>
      <c r="F59" s="1">
        <f t="shared" si="0"/>
        <v>29.166666666666668</v>
      </c>
      <c r="G59" s="1" t="s">
        <v>115</v>
      </c>
      <c r="H59" s="1">
        <f>(-44.6)+159</f>
        <v>114.4</v>
      </c>
      <c r="I59" s="1">
        <v>1</v>
      </c>
      <c r="J59" s="28">
        <f t="shared" si="1"/>
        <v>0.16666666666666666</v>
      </c>
    </row>
    <row r="60" spans="2:30">
      <c r="B60" s="1" t="s">
        <v>104</v>
      </c>
      <c r="C60" s="1" t="s">
        <v>132</v>
      </c>
      <c r="D60" s="1">
        <v>334</v>
      </c>
      <c r="E60" s="1">
        <v>6</v>
      </c>
      <c r="F60" s="1">
        <f t="shared" si="0"/>
        <v>55.666666666666664</v>
      </c>
      <c r="G60" s="1" t="s">
        <v>115</v>
      </c>
      <c r="H60" s="1">
        <f>(-43.4)+159</f>
        <v>115.6</v>
      </c>
      <c r="I60" s="1">
        <v>4</v>
      </c>
      <c r="J60" s="28">
        <f t="shared" si="1"/>
        <v>0.66666666666666663</v>
      </c>
    </row>
    <row r="61" spans="2:30">
      <c r="B61" s="1" t="s">
        <v>105</v>
      </c>
      <c r="C61" s="1" t="s">
        <v>132</v>
      </c>
      <c r="D61" s="1">
        <v>261</v>
      </c>
      <c r="E61" s="1">
        <v>6</v>
      </c>
      <c r="F61" s="1">
        <f>D61/E61</f>
        <v>43.5</v>
      </c>
      <c r="G61" s="1" t="s">
        <v>115</v>
      </c>
      <c r="H61" s="1">
        <f>(-47.7)+159</f>
        <v>111.3</v>
      </c>
      <c r="I61" s="1">
        <v>3</v>
      </c>
      <c r="J61" s="28">
        <f t="shared" si="1"/>
        <v>0.5</v>
      </c>
    </row>
    <row r="62" spans="2:30">
      <c r="B62" s="1" t="s">
        <v>106</v>
      </c>
      <c r="C62" s="1" t="s">
        <v>132</v>
      </c>
      <c r="D62" s="1">
        <v>283</v>
      </c>
      <c r="E62" s="1">
        <v>6</v>
      </c>
      <c r="F62" s="1">
        <f t="shared" ref="F62:F112" si="2">D62/E62</f>
        <v>47.166666666666664</v>
      </c>
      <c r="G62" s="1" t="s">
        <v>115</v>
      </c>
      <c r="H62" s="1">
        <f>(-43.1)+159</f>
        <v>115.9</v>
      </c>
      <c r="I62" s="1">
        <v>2</v>
      </c>
      <c r="J62" s="28">
        <f t="shared" si="1"/>
        <v>0.33333333333333331</v>
      </c>
      <c r="AC62" t="s">
        <v>218</v>
      </c>
      <c r="AD62" t="s">
        <v>219</v>
      </c>
    </row>
    <row r="63" spans="2:30">
      <c r="B63" s="1" t="s">
        <v>107</v>
      </c>
      <c r="C63" s="1" t="s">
        <v>132</v>
      </c>
      <c r="D63" s="1">
        <v>395</v>
      </c>
      <c r="E63" s="1">
        <v>6</v>
      </c>
      <c r="F63" s="1">
        <f t="shared" si="2"/>
        <v>65.833333333333329</v>
      </c>
      <c r="G63" s="1" t="s">
        <v>115</v>
      </c>
      <c r="H63" s="1">
        <f>(-40.2)+159</f>
        <v>118.8</v>
      </c>
      <c r="I63" s="1">
        <v>1</v>
      </c>
      <c r="J63" s="28">
        <f t="shared" si="1"/>
        <v>0.16666666666666666</v>
      </c>
      <c r="AB63" t="s">
        <v>224</v>
      </c>
      <c r="AC63">
        <v>120.9</v>
      </c>
      <c r="AD63">
        <v>48.3</v>
      </c>
    </row>
    <row r="64" spans="2:30">
      <c r="B64" s="1" t="s">
        <v>108</v>
      </c>
      <c r="C64" s="1" t="s">
        <v>132</v>
      </c>
      <c r="D64" s="1">
        <v>244</v>
      </c>
      <c r="E64" s="1">
        <v>6</v>
      </c>
      <c r="F64" s="1">
        <f t="shared" si="2"/>
        <v>40.666666666666664</v>
      </c>
      <c r="G64" s="1" t="s">
        <v>115</v>
      </c>
      <c r="H64" s="1">
        <f>(-42.7)+159</f>
        <v>116.3</v>
      </c>
      <c r="I64" s="1">
        <v>2</v>
      </c>
      <c r="J64" s="28">
        <f t="shared" si="1"/>
        <v>0.33333333333333331</v>
      </c>
      <c r="AB64" t="s">
        <v>221</v>
      </c>
      <c r="AC64">
        <v>118.5</v>
      </c>
      <c r="AD64">
        <v>78</v>
      </c>
    </row>
    <row r="65" spans="1:30">
      <c r="B65" s="1" t="s">
        <v>109</v>
      </c>
      <c r="C65" s="1" t="s">
        <v>132</v>
      </c>
      <c r="D65" s="1">
        <v>214</v>
      </c>
      <c r="E65" s="1">
        <v>6</v>
      </c>
      <c r="F65" s="1">
        <f t="shared" si="2"/>
        <v>35.666666666666664</v>
      </c>
      <c r="G65" s="1" t="s">
        <v>115</v>
      </c>
      <c r="H65" s="1">
        <f>(-42.9)+159</f>
        <v>116.1</v>
      </c>
      <c r="I65" s="1">
        <v>0</v>
      </c>
      <c r="J65" s="28">
        <f t="shared" si="1"/>
        <v>0</v>
      </c>
      <c r="AB65" t="s">
        <v>222</v>
      </c>
      <c r="AC65">
        <v>117.1</v>
      </c>
      <c r="AD65">
        <v>117.25</v>
      </c>
    </row>
    <row r="66" spans="1:30">
      <c r="B66" s="1" t="s">
        <v>110</v>
      </c>
      <c r="C66" s="1" t="s">
        <v>132</v>
      </c>
      <c r="D66" s="1">
        <v>214</v>
      </c>
      <c r="E66" s="1">
        <v>6</v>
      </c>
      <c r="F66" s="1">
        <f t="shared" si="2"/>
        <v>35.666666666666664</v>
      </c>
      <c r="G66" s="1" t="s">
        <v>115</v>
      </c>
      <c r="H66" s="1">
        <f>(-41.7)+159</f>
        <v>117.3</v>
      </c>
      <c r="I66" s="1">
        <v>3</v>
      </c>
      <c r="J66" s="28">
        <f t="shared" si="1"/>
        <v>0.5</v>
      </c>
      <c r="AB66" t="s">
        <v>223</v>
      </c>
      <c r="AC66">
        <v>117.9</v>
      </c>
      <c r="AD66">
        <v>96.25</v>
      </c>
    </row>
    <row r="67" spans="1:30">
      <c r="B67" s="1" t="s">
        <v>111</v>
      </c>
      <c r="C67" s="1" t="s">
        <v>132</v>
      </c>
      <c r="D67" s="1">
        <v>314</v>
      </c>
      <c r="E67" s="1">
        <v>3</v>
      </c>
      <c r="F67" s="1">
        <f t="shared" si="2"/>
        <v>104.66666666666667</v>
      </c>
      <c r="G67" s="1" t="s">
        <v>115</v>
      </c>
      <c r="H67" s="1">
        <f>(-43.9)+159</f>
        <v>115.1</v>
      </c>
      <c r="I67" s="1">
        <v>4</v>
      </c>
      <c r="J67" s="28">
        <f t="shared" ref="J67:J130" si="3">I67/E67</f>
        <v>1.3333333333333333</v>
      </c>
      <c r="AB67" t="s">
        <v>220</v>
      </c>
      <c r="AC67">
        <v>118.8</v>
      </c>
      <c r="AD67">
        <v>65.8</v>
      </c>
    </row>
    <row r="68" spans="1:30">
      <c r="B68" s="1" t="s">
        <v>43</v>
      </c>
      <c r="C68" s="1" t="s">
        <v>132</v>
      </c>
      <c r="D68" s="1">
        <v>360</v>
      </c>
      <c r="E68" s="1">
        <v>3</v>
      </c>
      <c r="F68" s="1">
        <f t="shared" si="2"/>
        <v>120</v>
      </c>
      <c r="G68" s="1" t="s">
        <v>115</v>
      </c>
      <c r="H68" s="1">
        <f>(-45.2)+159</f>
        <v>113.8</v>
      </c>
      <c r="I68" s="1">
        <v>4</v>
      </c>
      <c r="J68" s="28">
        <f t="shared" si="3"/>
        <v>1.3333333333333333</v>
      </c>
    </row>
    <row r="69" spans="1:30">
      <c r="B69" s="1" t="s">
        <v>112</v>
      </c>
      <c r="C69" s="1" t="s">
        <v>132</v>
      </c>
      <c r="D69" s="1">
        <v>186</v>
      </c>
      <c r="E69" s="1">
        <v>3</v>
      </c>
      <c r="F69" s="1">
        <f t="shared" si="2"/>
        <v>62</v>
      </c>
      <c r="G69" s="1" t="s">
        <v>115</v>
      </c>
      <c r="H69" s="1">
        <f>(-44.3)+159</f>
        <v>114.7</v>
      </c>
      <c r="I69" s="1">
        <v>1</v>
      </c>
      <c r="J69" s="28">
        <f t="shared" si="3"/>
        <v>0.33333333333333331</v>
      </c>
    </row>
    <row r="70" spans="1:30">
      <c r="B70" s="1" t="s">
        <v>113</v>
      </c>
      <c r="C70" s="1" t="s">
        <v>132</v>
      </c>
      <c r="D70" s="1">
        <v>125</v>
      </c>
      <c r="E70" s="1">
        <v>3</v>
      </c>
      <c r="F70" s="1">
        <f t="shared" si="2"/>
        <v>41.666666666666664</v>
      </c>
      <c r="G70" s="1" t="s">
        <v>115</v>
      </c>
      <c r="H70" s="1">
        <f>(-46.9)+159</f>
        <v>112.1</v>
      </c>
      <c r="I70" s="1">
        <v>2</v>
      </c>
      <c r="J70" s="28">
        <f t="shared" si="3"/>
        <v>0.66666666666666663</v>
      </c>
    </row>
    <row r="71" spans="1:30">
      <c r="B71" s="1" t="s">
        <v>114</v>
      </c>
      <c r="C71" s="1" t="s">
        <v>132</v>
      </c>
      <c r="D71" s="1">
        <v>98</v>
      </c>
      <c r="E71" s="1">
        <v>3</v>
      </c>
      <c r="F71" s="1">
        <f t="shared" si="2"/>
        <v>32.666666666666664</v>
      </c>
      <c r="G71" s="1" t="s">
        <v>115</v>
      </c>
      <c r="H71" s="1">
        <f>(-44)+159</f>
        <v>115</v>
      </c>
      <c r="I71" s="1">
        <v>3</v>
      </c>
      <c r="J71" s="28">
        <f t="shared" si="3"/>
        <v>1</v>
      </c>
    </row>
    <row r="72" spans="1:30">
      <c r="A72" s="24">
        <v>40441</v>
      </c>
      <c r="B72" s="1" t="s">
        <v>116</v>
      </c>
      <c r="C72" s="1">
        <v>26</v>
      </c>
      <c r="D72" s="1">
        <v>3</v>
      </c>
      <c r="E72" s="1">
        <v>3</v>
      </c>
      <c r="F72" s="1">
        <f t="shared" si="2"/>
        <v>1</v>
      </c>
      <c r="G72" s="1" t="s">
        <v>115</v>
      </c>
      <c r="H72" s="1">
        <f>(-66.8)+159</f>
        <v>92.2</v>
      </c>
      <c r="I72" s="1">
        <v>0</v>
      </c>
      <c r="J72" s="28">
        <f t="shared" si="3"/>
        <v>0</v>
      </c>
    </row>
    <row r="73" spans="1:30">
      <c r="B73" s="1" t="s">
        <v>117</v>
      </c>
      <c r="C73" s="1">
        <v>10</v>
      </c>
      <c r="D73" s="1">
        <v>0</v>
      </c>
      <c r="E73" s="1">
        <v>3</v>
      </c>
      <c r="F73" s="1">
        <f t="shared" si="2"/>
        <v>0</v>
      </c>
      <c r="G73" s="1" t="s">
        <v>115</v>
      </c>
      <c r="H73" s="1">
        <f>(-69.3)+159</f>
        <v>89.7</v>
      </c>
      <c r="I73" s="1">
        <v>0</v>
      </c>
      <c r="J73" s="28">
        <f t="shared" si="3"/>
        <v>0</v>
      </c>
    </row>
    <row r="74" spans="1:30">
      <c r="B74" s="1" t="s">
        <v>118</v>
      </c>
      <c r="C74" s="1">
        <v>10</v>
      </c>
      <c r="D74" s="1">
        <v>0</v>
      </c>
      <c r="E74" s="1">
        <v>3</v>
      </c>
      <c r="F74" s="1">
        <f t="shared" si="2"/>
        <v>0</v>
      </c>
      <c r="G74" s="1" t="s">
        <v>115</v>
      </c>
      <c r="H74" s="1">
        <f>(-69.3)+159</f>
        <v>89.7</v>
      </c>
      <c r="I74" s="1">
        <v>0</v>
      </c>
      <c r="J74" s="28">
        <f t="shared" si="3"/>
        <v>0</v>
      </c>
    </row>
    <row r="75" spans="1:30">
      <c r="B75" s="1" t="s">
        <v>119</v>
      </c>
      <c r="C75" s="1">
        <v>10</v>
      </c>
      <c r="D75" s="1">
        <v>2</v>
      </c>
      <c r="E75" s="1">
        <v>3</v>
      </c>
      <c r="F75" s="1">
        <f t="shared" si="2"/>
        <v>0.66666666666666663</v>
      </c>
      <c r="G75" s="1" t="s">
        <v>115</v>
      </c>
      <c r="H75" s="1">
        <f>(-69.5)+159</f>
        <v>89.5</v>
      </c>
      <c r="I75" s="1">
        <v>0</v>
      </c>
      <c r="J75" s="28">
        <f t="shared" si="3"/>
        <v>0</v>
      </c>
    </row>
    <row r="76" spans="1:30">
      <c r="B76" s="1" t="s">
        <v>120</v>
      </c>
      <c r="C76" s="1">
        <v>10</v>
      </c>
      <c r="D76" s="1">
        <v>0</v>
      </c>
      <c r="E76" s="1">
        <v>3</v>
      </c>
      <c r="F76" s="1">
        <f t="shared" si="2"/>
        <v>0</v>
      </c>
      <c r="G76" s="1" t="s">
        <v>179</v>
      </c>
      <c r="H76" s="1">
        <f>(-69.9)+159</f>
        <v>89.1</v>
      </c>
      <c r="I76" s="1">
        <v>0</v>
      </c>
      <c r="J76" s="28">
        <f t="shared" si="3"/>
        <v>0</v>
      </c>
    </row>
    <row r="77" spans="1:30">
      <c r="B77" s="1" t="s">
        <v>121</v>
      </c>
      <c r="C77" s="1">
        <v>20</v>
      </c>
      <c r="D77" s="1">
        <v>0</v>
      </c>
      <c r="E77" s="1">
        <v>4</v>
      </c>
      <c r="F77" s="1">
        <f t="shared" si="2"/>
        <v>0</v>
      </c>
      <c r="G77" s="1" t="s">
        <v>179</v>
      </c>
      <c r="H77" s="1">
        <f>(-69.4)+159</f>
        <v>89.6</v>
      </c>
      <c r="I77" s="1">
        <v>0</v>
      </c>
      <c r="J77" s="28">
        <f t="shared" si="3"/>
        <v>0</v>
      </c>
    </row>
    <row r="78" spans="1:30">
      <c r="B78" s="1" t="s">
        <v>122</v>
      </c>
      <c r="C78" s="1">
        <v>10</v>
      </c>
      <c r="D78" s="1">
        <v>0</v>
      </c>
      <c r="E78" s="1">
        <v>4</v>
      </c>
      <c r="F78" s="1">
        <f t="shared" si="2"/>
        <v>0</v>
      </c>
      <c r="G78" s="1" t="s">
        <v>179</v>
      </c>
      <c r="H78" s="1">
        <f>(-69.4)+159</f>
        <v>89.6</v>
      </c>
      <c r="I78" s="1">
        <v>0</v>
      </c>
      <c r="J78" s="28">
        <f t="shared" si="3"/>
        <v>0</v>
      </c>
    </row>
    <row r="79" spans="1:30">
      <c r="B79" s="1" t="s">
        <v>123</v>
      </c>
      <c r="C79" s="1">
        <v>20</v>
      </c>
      <c r="D79" s="1">
        <v>0</v>
      </c>
      <c r="E79" s="1">
        <v>4</v>
      </c>
      <c r="F79" s="1">
        <f t="shared" si="2"/>
        <v>0</v>
      </c>
      <c r="G79" s="1" t="s">
        <v>179</v>
      </c>
      <c r="H79" s="1">
        <f>(-69.6)+159</f>
        <v>89.4</v>
      </c>
      <c r="I79" s="1">
        <v>0</v>
      </c>
      <c r="J79" s="28">
        <f t="shared" si="3"/>
        <v>0</v>
      </c>
    </row>
    <row r="80" spans="1:30">
      <c r="B80" s="1" t="s">
        <v>124</v>
      </c>
      <c r="C80" s="1">
        <v>20</v>
      </c>
      <c r="D80" s="1">
        <v>0</v>
      </c>
      <c r="E80" s="1">
        <v>4</v>
      </c>
      <c r="F80" s="1">
        <f t="shared" si="2"/>
        <v>0</v>
      </c>
      <c r="G80" s="1" t="s">
        <v>179</v>
      </c>
      <c r="H80" s="1">
        <f>(-69.5)+159</f>
        <v>89.5</v>
      </c>
      <c r="I80" s="1">
        <v>0</v>
      </c>
      <c r="J80" s="28">
        <f t="shared" si="3"/>
        <v>0</v>
      </c>
    </row>
    <row r="81" spans="1:10">
      <c r="B81" s="1" t="s">
        <v>125</v>
      </c>
      <c r="C81" s="1">
        <v>11</v>
      </c>
      <c r="D81" s="1">
        <v>2</v>
      </c>
      <c r="E81" s="1">
        <v>4</v>
      </c>
      <c r="F81" s="1">
        <f t="shared" si="2"/>
        <v>0.5</v>
      </c>
      <c r="G81" s="1" t="s">
        <v>179</v>
      </c>
      <c r="H81" s="1">
        <f>(-69.7)+159</f>
        <v>89.3</v>
      </c>
      <c r="I81" s="1">
        <v>0</v>
      </c>
      <c r="J81" s="28">
        <f t="shared" si="3"/>
        <v>0</v>
      </c>
    </row>
    <row r="82" spans="1:10">
      <c r="B82" s="1" t="s">
        <v>126</v>
      </c>
      <c r="C82" s="1">
        <v>20</v>
      </c>
      <c r="D82" s="1">
        <v>0</v>
      </c>
      <c r="E82" s="1">
        <v>4</v>
      </c>
      <c r="F82" s="1">
        <f t="shared" si="2"/>
        <v>0</v>
      </c>
      <c r="G82" s="1" t="s">
        <v>179</v>
      </c>
      <c r="H82" s="1">
        <f>(-69.6)+159</f>
        <v>89.4</v>
      </c>
      <c r="I82" s="1">
        <v>0</v>
      </c>
      <c r="J82" s="28">
        <f t="shared" si="3"/>
        <v>0</v>
      </c>
    </row>
    <row r="83" spans="1:10">
      <c r="B83" s="1" t="s">
        <v>127</v>
      </c>
      <c r="C83" s="1">
        <v>10</v>
      </c>
      <c r="D83" s="1">
        <v>6</v>
      </c>
      <c r="E83" s="1">
        <v>3</v>
      </c>
      <c r="F83" s="1">
        <f t="shared" si="2"/>
        <v>2</v>
      </c>
      <c r="G83" s="1" t="s">
        <v>179</v>
      </c>
      <c r="H83" s="1">
        <f>(-69.9)+159</f>
        <v>89.1</v>
      </c>
      <c r="I83" s="1">
        <v>0</v>
      </c>
      <c r="J83" s="28">
        <f t="shared" si="3"/>
        <v>0</v>
      </c>
    </row>
    <row r="84" spans="1:10">
      <c r="B84" s="1" t="s">
        <v>128</v>
      </c>
      <c r="C84" s="1">
        <v>9</v>
      </c>
      <c r="D84" s="1">
        <v>4</v>
      </c>
      <c r="E84" s="1">
        <v>3</v>
      </c>
      <c r="F84" s="1">
        <f t="shared" si="2"/>
        <v>1.3333333333333333</v>
      </c>
      <c r="G84" s="1" t="s">
        <v>179</v>
      </c>
      <c r="H84" s="1">
        <f>(-69.4)+159</f>
        <v>89.6</v>
      </c>
      <c r="I84" s="1">
        <v>0</v>
      </c>
      <c r="J84" s="28">
        <f t="shared" si="3"/>
        <v>0</v>
      </c>
    </row>
    <row r="85" spans="1:10">
      <c r="B85" s="1" t="s">
        <v>129</v>
      </c>
      <c r="C85" s="1">
        <v>20</v>
      </c>
      <c r="D85" s="1">
        <v>0</v>
      </c>
      <c r="E85" s="1">
        <v>3</v>
      </c>
      <c r="F85" s="1">
        <f t="shared" si="2"/>
        <v>0</v>
      </c>
      <c r="G85" s="1" t="s">
        <v>179</v>
      </c>
      <c r="H85" s="1">
        <f>(-69.4)+159</f>
        <v>89.6</v>
      </c>
      <c r="I85" s="1">
        <v>0</v>
      </c>
      <c r="J85" s="28">
        <f t="shared" si="3"/>
        <v>0</v>
      </c>
    </row>
    <row r="86" spans="1:10">
      <c r="B86" s="1" t="s">
        <v>130</v>
      </c>
      <c r="C86" s="1">
        <v>11</v>
      </c>
      <c r="D86" s="1">
        <v>2</v>
      </c>
      <c r="E86" s="1">
        <v>3</v>
      </c>
      <c r="F86" s="1">
        <f t="shared" si="2"/>
        <v>0.66666666666666663</v>
      </c>
      <c r="G86" s="1" t="s">
        <v>179</v>
      </c>
      <c r="H86" s="1">
        <f>(-69.5)+159</f>
        <v>89.5</v>
      </c>
      <c r="I86" s="1">
        <v>0</v>
      </c>
      <c r="J86" s="28">
        <f t="shared" si="3"/>
        <v>0</v>
      </c>
    </row>
    <row r="87" spans="1:10">
      <c r="B87" s="1" t="s">
        <v>131</v>
      </c>
      <c r="C87" s="1">
        <v>9</v>
      </c>
      <c r="D87" s="1">
        <v>2</v>
      </c>
      <c r="E87" s="1">
        <v>3</v>
      </c>
      <c r="F87" s="1">
        <f t="shared" si="2"/>
        <v>0.66666666666666663</v>
      </c>
      <c r="G87" s="1" t="s">
        <v>179</v>
      </c>
      <c r="H87" s="1">
        <f>(-69.3)+159</f>
        <v>89.7</v>
      </c>
      <c r="I87" s="1">
        <v>0</v>
      </c>
      <c r="J87" s="28">
        <f t="shared" si="3"/>
        <v>0</v>
      </c>
    </row>
    <row r="88" spans="1:10">
      <c r="A88" s="24">
        <v>40442</v>
      </c>
      <c r="B88" s="1" t="s">
        <v>133</v>
      </c>
      <c r="C88" s="1">
        <v>523</v>
      </c>
      <c r="D88" s="1">
        <v>274</v>
      </c>
      <c r="E88" s="1">
        <v>7</v>
      </c>
      <c r="F88" s="1">
        <f t="shared" si="2"/>
        <v>39.142857142857146</v>
      </c>
      <c r="G88" s="1" t="s">
        <v>179</v>
      </c>
      <c r="H88" s="1">
        <f>(-47.2)+159</f>
        <v>111.8</v>
      </c>
      <c r="I88" s="1">
        <v>0</v>
      </c>
      <c r="J88" s="28">
        <f t="shared" si="3"/>
        <v>0</v>
      </c>
    </row>
    <row r="89" spans="1:10">
      <c r="B89" s="1" t="s">
        <v>134</v>
      </c>
      <c r="C89" s="1">
        <v>301</v>
      </c>
      <c r="D89" s="1">
        <v>263</v>
      </c>
      <c r="E89" s="1">
        <v>7</v>
      </c>
      <c r="F89" s="1">
        <f t="shared" si="2"/>
        <v>37.571428571428569</v>
      </c>
      <c r="G89" s="1" t="s">
        <v>179</v>
      </c>
      <c r="H89" s="1">
        <f>(-47.2)+159</f>
        <v>111.8</v>
      </c>
      <c r="I89" s="1">
        <v>0</v>
      </c>
      <c r="J89" s="28">
        <f t="shared" si="3"/>
        <v>0</v>
      </c>
    </row>
    <row r="90" spans="1:10">
      <c r="B90" s="1" t="s">
        <v>135</v>
      </c>
      <c r="C90" s="1">
        <v>227</v>
      </c>
      <c r="D90" s="1">
        <v>574</v>
      </c>
      <c r="E90" s="1">
        <v>7</v>
      </c>
      <c r="F90" s="1">
        <f t="shared" si="2"/>
        <v>82</v>
      </c>
      <c r="G90" s="1" t="s">
        <v>179</v>
      </c>
      <c r="H90" s="1">
        <f>(-46)+159</f>
        <v>113</v>
      </c>
      <c r="I90" s="1">
        <v>3</v>
      </c>
      <c r="J90" s="28">
        <f t="shared" si="3"/>
        <v>0.42857142857142855</v>
      </c>
    </row>
    <row r="91" spans="1:10">
      <c r="B91" s="1" t="s">
        <v>136</v>
      </c>
      <c r="C91" s="1">
        <v>252</v>
      </c>
      <c r="D91" s="1">
        <v>773</v>
      </c>
      <c r="E91" s="1">
        <v>7</v>
      </c>
      <c r="F91" s="1">
        <f t="shared" si="2"/>
        <v>110.42857142857143</v>
      </c>
      <c r="G91" s="1" t="s">
        <v>179</v>
      </c>
      <c r="H91" s="1">
        <f>(-47.1)+159</f>
        <v>111.9</v>
      </c>
      <c r="I91" s="1">
        <v>2</v>
      </c>
      <c r="J91" s="28">
        <f t="shared" si="3"/>
        <v>0.2857142857142857</v>
      </c>
    </row>
    <row r="92" spans="1:10">
      <c r="B92" s="1" t="s">
        <v>137</v>
      </c>
      <c r="C92" s="1">
        <v>252</v>
      </c>
      <c r="D92" s="1">
        <v>612</v>
      </c>
      <c r="E92" s="1">
        <v>7</v>
      </c>
      <c r="F92" s="1">
        <f t="shared" si="2"/>
        <v>87.428571428571431</v>
      </c>
      <c r="G92" s="1" t="s">
        <v>179</v>
      </c>
      <c r="H92" s="1">
        <f>(-46.6)+159</f>
        <v>112.4</v>
      </c>
      <c r="I92" s="1">
        <v>2</v>
      </c>
      <c r="J92" s="28">
        <f t="shared" si="3"/>
        <v>0.2857142857142857</v>
      </c>
    </row>
    <row r="93" spans="1:10">
      <c r="B93" s="1" t="s">
        <v>47</v>
      </c>
      <c r="C93" s="1">
        <v>350</v>
      </c>
      <c r="D93" s="1">
        <v>717</v>
      </c>
      <c r="E93" s="1">
        <v>7</v>
      </c>
      <c r="F93" s="1">
        <f t="shared" si="2"/>
        <v>102.42857142857143</v>
      </c>
      <c r="G93" s="1" t="s">
        <v>179</v>
      </c>
      <c r="H93" s="1">
        <f>(-47)+159</f>
        <v>112</v>
      </c>
      <c r="I93" s="1">
        <v>2</v>
      </c>
      <c r="J93" s="28">
        <f t="shared" si="3"/>
        <v>0.2857142857142857</v>
      </c>
    </row>
    <row r="94" spans="1:10">
      <c r="B94" s="1" t="s">
        <v>138</v>
      </c>
      <c r="C94" s="1">
        <v>153</v>
      </c>
      <c r="D94" s="1">
        <v>1447</v>
      </c>
      <c r="E94" s="1">
        <v>7</v>
      </c>
      <c r="F94" s="1">
        <f t="shared" si="2"/>
        <v>206.71428571428572</v>
      </c>
      <c r="G94" s="1" t="s">
        <v>179</v>
      </c>
      <c r="H94" s="1">
        <f>(-47.3)+159</f>
        <v>111.7</v>
      </c>
      <c r="I94" s="1">
        <v>7</v>
      </c>
      <c r="J94" s="28">
        <f t="shared" si="3"/>
        <v>1</v>
      </c>
    </row>
    <row r="95" spans="1:10">
      <c r="B95" s="1" t="s">
        <v>139</v>
      </c>
      <c r="C95" s="1">
        <v>153</v>
      </c>
      <c r="D95" s="1">
        <v>603</v>
      </c>
      <c r="E95" s="1">
        <v>7</v>
      </c>
      <c r="F95" s="1">
        <f t="shared" si="2"/>
        <v>86.142857142857139</v>
      </c>
      <c r="G95" s="1" t="s">
        <v>179</v>
      </c>
      <c r="H95" s="1">
        <f>(-47.6)+159</f>
        <v>111.4</v>
      </c>
      <c r="I95" s="1">
        <v>0</v>
      </c>
      <c r="J95" s="28">
        <f t="shared" si="3"/>
        <v>0</v>
      </c>
    </row>
    <row r="96" spans="1:10">
      <c r="B96" s="1" t="s">
        <v>140</v>
      </c>
      <c r="C96" s="1">
        <v>133</v>
      </c>
      <c r="D96" s="1">
        <v>561</v>
      </c>
      <c r="E96" s="1">
        <v>7</v>
      </c>
      <c r="F96" s="1">
        <f t="shared" si="2"/>
        <v>80.142857142857139</v>
      </c>
      <c r="G96" s="1" t="s">
        <v>179</v>
      </c>
      <c r="H96" s="1">
        <f>(-47.2)+159</f>
        <v>111.8</v>
      </c>
      <c r="I96" s="1">
        <v>1</v>
      </c>
      <c r="J96" s="28">
        <f t="shared" si="3"/>
        <v>0.14285714285714285</v>
      </c>
    </row>
    <row r="97" spans="1:15">
      <c r="A97" s="24">
        <v>40442</v>
      </c>
      <c r="B97" s="1" t="s">
        <v>141</v>
      </c>
      <c r="C97" s="1">
        <v>152</v>
      </c>
      <c r="D97" s="1">
        <v>385</v>
      </c>
      <c r="E97" s="1">
        <v>4</v>
      </c>
      <c r="F97" s="1">
        <f>D97/E97</f>
        <v>96.25</v>
      </c>
      <c r="G97" s="1" t="s">
        <v>179</v>
      </c>
      <c r="H97" s="1">
        <f>(-41.1)+159</f>
        <v>117.9</v>
      </c>
      <c r="I97" s="1">
        <v>0</v>
      </c>
      <c r="J97" s="28">
        <f t="shared" si="3"/>
        <v>0</v>
      </c>
      <c r="N97" s="26"/>
      <c r="O97" s="26"/>
    </row>
    <row r="98" spans="1:15">
      <c r="B98" s="1" t="s">
        <v>142</v>
      </c>
      <c r="C98" s="1">
        <v>153</v>
      </c>
      <c r="D98" s="1">
        <v>502</v>
      </c>
      <c r="E98" s="1">
        <v>4</v>
      </c>
      <c r="F98" s="1">
        <f t="shared" si="2"/>
        <v>125.5</v>
      </c>
      <c r="G98" s="1" t="s">
        <v>179</v>
      </c>
      <c r="H98" s="1">
        <f>(-42)+159</f>
        <v>117</v>
      </c>
      <c r="I98" s="1">
        <v>3</v>
      </c>
      <c r="J98" s="28">
        <f t="shared" si="3"/>
        <v>0.75</v>
      </c>
    </row>
    <row r="99" spans="1:15">
      <c r="B99" s="1" t="s">
        <v>143</v>
      </c>
      <c r="C99" s="1">
        <v>103</v>
      </c>
      <c r="D99" s="1">
        <v>469</v>
      </c>
      <c r="E99" s="1">
        <v>4</v>
      </c>
      <c r="F99" s="1">
        <f>D99/E99</f>
        <v>117.25</v>
      </c>
      <c r="G99" s="1" t="s">
        <v>161</v>
      </c>
      <c r="H99" s="1">
        <f>(-41.9)+159</f>
        <v>117.1</v>
      </c>
      <c r="I99" s="1">
        <v>1</v>
      </c>
      <c r="J99" s="28">
        <f t="shared" si="3"/>
        <v>0.25</v>
      </c>
    </row>
    <row r="100" spans="1:15">
      <c r="B100" s="1" t="s">
        <v>144</v>
      </c>
      <c r="C100" s="1">
        <v>103</v>
      </c>
      <c r="D100" s="1">
        <v>129</v>
      </c>
      <c r="E100" s="1">
        <v>4</v>
      </c>
      <c r="F100" s="1">
        <f t="shared" si="2"/>
        <v>32.25</v>
      </c>
      <c r="G100" s="1" t="s">
        <v>161</v>
      </c>
      <c r="H100" s="1">
        <f>(-42.9)+159</f>
        <v>116.1</v>
      </c>
      <c r="I100" s="1">
        <v>0</v>
      </c>
      <c r="J100" s="28">
        <f t="shared" si="3"/>
        <v>0</v>
      </c>
    </row>
    <row r="101" spans="1:15">
      <c r="B101" s="1" t="s">
        <v>145</v>
      </c>
      <c r="C101" s="1">
        <v>103</v>
      </c>
      <c r="D101" s="1">
        <v>201</v>
      </c>
      <c r="E101" s="1">
        <v>4</v>
      </c>
      <c r="F101" s="1">
        <f t="shared" si="2"/>
        <v>50.25</v>
      </c>
      <c r="G101" s="1" t="s">
        <v>161</v>
      </c>
      <c r="H101" s="1">
        <f>(-43.2)+159</f>
        <v>115.8</v>
      </c>
      <c r="I101" s="1">
        <v>0</v>
      </c>
      <c r="J101" s="28">
        <f t="shared" si="3"/>
        <v>0</v>
      </c>
    </row>
    <row r="102" spans="1:15">
      <c r="B102" s="1" t="s">
        <v>146</v>
      </c>
      <c r="C102" s="1">
        <v>75</v>
      </c>
      <c r="D102" s="1">
        <v>879</v>
      </c>
      <c r="E102" s="1">
        <v>2</v>
      </c>
      <c r="F102" s="1">
        <f t="shared" si="2"/>
        <v>439.5</v>
      </c>
      <c r="G102" s="1" t="s">
        <v>161</v>
      </c>
      <c r="H102" s="1">
        <f>(-44.3)+159</f>
        <v>114.7</v>
      </c>
      <c r="I102" s="1">
        <v>5</v>
      </c>
      <c r="J102" s="28">
        <f t="shared" si="3"/>
        <v>2.5</v>
      </c>
    </row>
    <row r="103" spans="1:15">
      <c r="B103" s="1" t="s">
        <v>147</v>
      </c>
      <c r="C103" s="1">
        <v>49</v>
      </c>
      <c r="D103" s="1">
        <v>270</v>
      </c>
      <c r="E103" s="1">
        <v>2</v>
      </c>
      <c r="F103" s="1">
        <f t="shared" si="2"/>
        <v>135</v>
      </c>
      <c r="G103" s="1" t="s">
        <v>161</v>
      </c>
      <c r="H103" s="1">
        <f>(-45.4)+159</f>
        <v>113.6</v>
      </c>
      <c r="I103" s="1">
        <v>2</v>
      </c>
      <c r="J103" s="28">
        <f t="shared" si="3"/>
        <v>1</v>
      </c>
    </row>
    <row r="104" spans="1:15">
      <c r="B104" s="1" t="s">
        <v>148</v>
      </c>
      <c r="C104" s="1">
        <v>44</v>
      </c>
      <c r="D104" s="1">
        <v>612</v>
      </c>
      <c r="E104" s="1">
        <v>2</v>
      </c>
      <c r="F104" s="1">
        <f t="shared" si="2"/>
        <v>306</v>
      </c>
      <c r="G104" s="1" t="s">
        <v>84</v>
      </c>
      <c r="H104" s="1">
        <f>(-45.6)+159</f>
        <v>113.4</v>
      </c>
      <c r="I104" s="1">
        <v>9</v>
      </c>
      <c r="J104" s="28">
        <f t="shared" si="3"/>
        <v>4.5</v>
      </c>
    </row>
    <row r="105" spans="1:15">
      <c r="B105" s="1" t="s">
        <v>149</v>
      </c>
      <c r="C105" s="1">
        <v>49</v>
      </c>
      <c r="D105" s="1">
        <v>1443</v>
      </c>
      <c r="E105" s="1">
        <v>2</v>
      </c>
      <c r="F105" s="1">
        <f t="shared" si="2"/>
        <v>721.5</v>
      </c>
      <c r="G105" s="1" t="s">
        <v>84</v>
      </c>
      <c r="H105" s="1">
        <f>(-44.6)+159</f>
        <v>114.4</v>
      </c>
      <c r="I105" s="1">
        <v>10</v>
      </c>
      <c r="J105" s="28">
        <f t="shared" si="3"/>
        <v>5</v>
      </c>
    </row>
    <row r="106" spans="1:15">
      <c r="B106" s="1" t="s">
        <v>150</v>
      </c>
      <c r="C106" s="1">
        <v>103</v>
      </c>
      <c r="D106" s="1">
        <v>470</v>
      </c>
      <c r="E106" s="1">
        <v>2</v>
      </c>
      <c r="F106" s="1">
        <f t="shared" si="2"/>
        <v>235</v>
      </c>
      <c r="G106" s="1" t="s">
        <v>84</v>
      </c>
      <c r="H106" s="1">
        <f>(-43.1)+159</f>
        <v>115.9</v>
      </c>
      <c r="I106" s="1">
        <v>4</v>
      </c>
      <c r="J106" s="28">
        <f t="shared" si="3"/>
        <v>2</v>
      </c>
    </row>
    <row r="107" spans="1:15">
      <c r="B107" s="1" t="s">
        <v>151</v>
      </c>
      <c r="C107" s="1">
        <v>103</v>
      </c>
      <c r="D107" s="1">
        <v>470</v>
      </c>
      <c r="E107" s="1">
        <v>2</v>
      </c>
      <c r="F107" s="1">
        <f t="shared" si="2"/>
        <v>235</v>
      </c>
      <c r="G107" s="1" t="s">
        <v>84</v>
      </c>
      <c r="H107" s="1">
        <f>(-43.1)+159</f>
        <v>115.9</v>
      </c>
      <c r="I107" s="1">
        <v>5</v>
      </c>
      <c r="J107" s="28">
        <f t="shared" si="3"/>
        <v>2.5</v>
      </c>
    </row>
    <row r="108" spans="1:15">
      <c r="B108" s="1" t="s">
        <v>152</v>
      </c>
      <c r="C108" s="1">
        <v>103</v>
      </c>
      <c r="D108" s="1">
        <v>995</v>
      </c>
      <c r="E108" s="1">
        <v>2</v>
      </c>
      <c r="F108" s="1">
        <f t="shared" si="2"/>
        <v>497.5</v>
      </c>
      <c r="G108" s="1" t="s">
        <v>84</v>
      </c>
      <c r="H108" s="1">
        <f>(-43.3)+159</f>
        <v>115.7</v>
      </c>
      <c r="I108" s="1">
        <v>12</v>
      </c>
      <c r="J108" s="28">
        <f t="shared" si="3"/>
        <v>6</v>
      </c>
    </row>
    <row r="109" spans="1:15">
      <c r="B109" s="1" t="s">
        <v>153</v>
      </c>
      <c r="C109" s="1">
        <v>73</v>
      </c>
      <c r="D109" s="1">
        <v>414</v>
      </c>
      <c r="E109" s="1">
        <v>2</v>
      </c>
      <c r="F109" s="1">
        <f t="shared" si="2"/>
        <v>207</v>
      </c>
      <c r="G109" s="1" t="s">
        <v>84</v>
      </c>
      <c r="H109" s="1">
        <f>(-41.6)+159</f>
        <v>117.4</v>
      </c>
      <c r="I109" s="1">
        <v>5</v>
      </c>
      <c r="J109" s="28">
        <f t="shared" si="3"/>
        <v>2.5</v>
      </c>
    </row>
    <row r="110" spans="1:15">
      <c r="B110" s="1" t="s">
        <v>154</v>
      </c>
      <c r="C110" s="1">
        <v>103</v>
      </c>
      <c r="D110" s="1">
        <v>844</v>
      </c>
      <c r="E110" s="1">
        <v>2</v>
      </c>
      <c r="F110" s="1">
        <f t="shared" si="2"/>
        <v>422</v>
      </c>
      <c r="G110" s="1" t="s">
        <v>84</v>
      </c>
      <c r="H110" s="1">
        <f>(-41)+159</f>
        <v>118</v>
      </c>
      <c r="I110" s="1">
        <v>9</v>
      </c>
      <c r="J110" s="28">
        <f t="shared" si="3"/>
        <v>4.5</v>
      </c>
    </row>
    <row r="111" spans="1:15">
      <c r="B111" s="1" t="s">
        <v>155</v>
      </c>
      <c r="C111" s="1">
        <v>54</v>
      </c>
      <c r="D111" s="1">
        <v>527</v>
      </c>
      <c r="E111" s="1">
        <v>2</v>
      </c>
      <c r="F111" s="1">
        <f t="shared" si="2"/>
        <v>263.5</v>
      </c>
      <c r="G111" s="1" t="s">
        <v>84</v>
      </c>
      <c r="H111" s="1">
        <f>(-42.2)+159</f>
        <v>116.8</v>
      </c>
      <c r="I111" s="1">
        <v>5</v>
      </c>
      <c r="J111" s="28">
        <f t="shared" si="3"/>
        <v>2.5</v>
      </c>
    </row>
    <row r="112" spans="1:15">
      <c r="A112" s="24">
        <v>40442</v>
      </c>
      <c r="B112" s="1" t="s">
        <v>162</v>
      </c>
      <c r="C112" s="1" t="s">
        <v>132</v>
      </c>
      <c r="D112" s="1">
        <v>0</v>
      </c>
      <c r="E112" s="1">
        <v>12</v>
      </c>
      <c r="F112" s="1">
        <f t="shared" si="2"/>
        <v>0</v>
      </c>
      <c r="G112" s="1" t="s">
        <v>84</v>
      </c>
      <c r="H112" s="1">
        <f>(-40.4)+159</f>
        <v>118.6</v>
      </c>
      <c r="I112" s="1">
        <v>0</v>
      </c>
      <c r="J112" s="28">
        <f t="shared" si="3"/>
        <v>0</v>
      </c>
    </row>
    <row r="113" spans="2:10">
      <c r="B113" s="1" t="s">
        <v>163</v>
      </c>
      <c r="C113" s="1" t="s">
        <v>132</v>
      </c>
      <c r="D113" s="1">
        <v>77</v>
      </c>
      <c r="E113" s="1">
        <v>12</v>
      </c>
      <c r="F113" s="1">
        <f t="shared" ref="F113:F155" si="4">D113/E113</f>
        <v>6.416666666666667</v>
      </c>
      <c r="G113" s="1" t="s">
        <v>84</v>
      </c>
      <c r="H113" s="1">
        <f>(-41.3)+159</f>
        <v>117.7</v>
      </c>
      <c r="I113" s="1">
        <v>0</v>
      </c>
      <c r="J113" s="28">
        <f t="shared" si="3"/>
        <v>0</v>
      </c>
    </row>
    <row r="114" spans="2:10">
      <c r="B114" s="1" t="s">
        <v>164</v>
      </c>
      <c r="C114" s="1" t="s">
        <v>132</v>
      </c>
      <c r="D114" s="1">
        <v>71</v>
      </c>
      <c r="E114" s="1">
        <v>12</v>
      </c>
      <c r="F114" s="1">
        <f t="shared" si="4"/>
        <v>5.916666666666667</v>
      </c>
      <c r="G114" s="1" t="s">
        <v>84</v>
      </c>
      <c r="H114" s="1">
        <f>(-41.8)+159</f>
        <v>117.2</v>
      </c>
      <c r="I114" s="1">
        <v>0</v>
      </c>
      <c r="J114" s="28">
        <f t="shared" si="3"/>
        <v>0</v>
      </c>
    </row>
    <row r="115" spans="2:10">
      <c r="B115" s="1" t="s">
        <v>165</v>
      </c>
      <c r="C115" s="1" t="s">
        <v>132</v>
      </c>
      <c r="D115" s="1">
        <v>114</v>
      </c>
      <c r="E115" s="1">
        <v>12</v>
      </c>
      <c r="F115" s="1">
        <f t="shared" si="4"/>
        <v>9.5</v>
      </c>
      <c r="G115" s="1" t="s">
        <v>84</v>
      </c>
      <c r="H115" s="1">
        <f>(-42.4)+159</f>
        <v>116.6</v>
      </c>
      <c r="I115" s="1">
        <v>0</v>
      </c>
      <c r="J115" s="28">
        <f t="shared" si="3"/>
        <v>0</v>
      </c>
    </row>
    <row r="116" spans="2:10">
      <c r="B116" s="1" t="s">
        <v>166</v>
      </c>
      <c r="C116" s="1" t="s">
        <v>132</v>
      </c>
      <c r="D116" s="1">
        <v>103</v>
      </c>
      <c r="E116" s="1">
        <v>12</v>
      </c>
      <c r="F116" s="1">
        <f t="shared" si="4"/>
        <v>8.5833333333333339</v>
      </c>
      <c r="G116" s="1" t="s">
        <v>84</v>
      </c>
      <c r="H116" s="1">
        <f>(-44.1)+159</f>
        <v>114.9</v>
      </c>
      <c r="I116" s="1">
        <v>0</v>
      </c>
      <c r="J116" s="28">
        <f t="shared" si="3"/>
        <v>0</v>
      </c>
    </row>
    <row r="117" spans="2:10">
      <c r="B117" s="1" t="s">
        <v>167</v>
      </c>
      <c r="C117" s="1" t="s">
        <v>132</v>
      </c>
      <c r="D117" s="1">
        <v>37</v>
      </c>
      <c r="E117" s="1">
        <v>12</v>
      </c>
      <c r="F117" s="1">
        <f t="shared" si="4"/>
        <v>3.0833333333333335</v>
      </c>
      <c r="G117" s="1" t="s">
        <v>84</v>
      </c>
      <c r="H117" s="1">
        <f>(-39.5)+159</f>
        <v>119.5</v>
      </c>
      <c r="I117" s="1">
        <v>0</v>
      </c>
      <c r="J117" s="28">
        <f t="shared" si="3"/>
        <v>0</v>
      </c>
    </row>
    <row r="118" spans="2:10">
      <c r="B118" s="1" t="s">
        <v>168</v>
      </c>
      <c r="C118" s="1" t="s">
        <v>132</v>
      </c>
      <c r="D118" s="1">
        <v>124</v>
      </c>
      <c r="E118" s="1">
        <v>12</v>
      </c>
      <c r="F118" s="1">
        <f t="shared" si="4"/>
        <v>10.333333333333334</v>
      </c>
      <c r="G118" s="1" t="s">
        <v>84</v>
      </c>
      <c r="H118" s="1">
        <f>(-39.7)+159</f>
        <v>119.3</v>
      </c>
      <c r="I118" s="1">
        <v>0</v>
      </c>
      <c r="J118" s="28">
        <f t="shared" si="3"/>
        <v>0</v>
      </c>
    </row>
    <row r="119" spans="2:10">
      <c r="B119" s="1" t="s">
        <v>169</v>
      </c>
      <c r="C119" s="1" t="s">
        <v>132</v>
      </c>
      <c r="D119" s="1">
        <v>142</v>
      </c>
      <c r="E119" s="1">
        <v>12</v>
      </c>
      <c r="F119" s="1">
        <f t="shared" si="4"/>
        <v>11.833333333333334</v>
      </c>
      <c r="G119" s="1" t="s">
        <v>84</v>
      </c>
      <c r="H119" s="1">
        <f>(-43)+159</f>
        <v>116</v>
      </c>
      <c r="I119" s="1">
        <v>0</v>
      </c>
      <c r="J119" s="28">
        <f t="shared" si="3"/>
        <v>0</v>
      </c>
    </row>
    <row r="120" spans="2:10">
      <c r="B120" s="1" t="s">
        <v>170</v>
      </c>
      <c r="C120" s="1" t="s">
        <v>132</v>
      </c>
      <c r="D120" s="1">
        <v>113</v>
      </c>
      <c r="E120" s="1">
        <v>12</v>
      </c>
      <c r="F120" s="1">
        <f t="shared" si="4"/>
        <v>9.4166666666666661</v>
      </c>
      <c r="G120" s="1" t="s">
        <v>84</v>
      </c>
      <c r="H120" s="1">
        <f>(-41)+159</f>
        <v>118</v>
      </c>
      <c r="I120" s="1">
        <v>0</v>
      </c>
      <c r="J120" s="28">
        <f t="shared" si="3"/>
        <v>0</v>
      </c>
    </row>
    <row r="121" spans="2:10">
      <c r="B121" s="1" t="s">
        <v>171</v>
      </c>
      <c r="C121" s="1" t="s">
        <v>132</v>
      </c>
      <c r="D121" s="1">
        <v>72</v>
      </c>
      <c r="E121" s="1">
        <v>12</v>
      </c>
      <c r="F121" s="1">
        <f t="shared" si="4"/>
        <v>6</v>
      </c>
      <c r="G121" s="1" t="s">
        <v>84</v>
      </c>
      <c r="H121" s="1">
        <f>(-42.4)+159</f>
        <v>116.6</v>
      </c>
      <c r="I121" s="1">
        <v>0</v>
      </c>
      <c r="J121" s="28">
        <f t="shared" si="3"/>
        <v>0</v>
      </c>
    </row>
    <row r="122" spans="2:10">
      <c r="B122" s="1" t="s">
        <v>172</v>
      </c>
      <c r="C122" s="1" t="s">
        <v>132</v>
      </c>
      <c r="D122" s="1">
        <v>61</v>
      </c>
      <c r="E122" s="1">
        <v>12</v>
      </c>
      <c r="F122" s="1">
        <f t="shared" si="4"/>
        <v>5.083333333333333</v>
      </c>
      <c r="G122" s="1" t="s">
        <v>84</v>
      </c>
      <c r="H122" s="1">
        <f>(-45.6)+159</f>
        <v>113.4</v>
      </c>
      <c r="I122" s="1">
        <v>0</v>
      </c>
      <c r="J122" s="28">
        <f t="shared" si="3"/>
        <v>0</v>
      </c>
    </row>
    <row r="123" spans="2:10">
      <c r="B123" s="1" t="s">
        <v>173</v>
      </c>
      <c r="C123" s="1" t="s">
        <v>132</v>
      </c>
      <c r="D123" s="1">
        <v>127</v>
      </c>
      <c r="E123" s="1">
        <v>12</v>
      </c>
      <c r="F123" s="1">
        <f t="shared" si="4"/>
        <v>10.583333333333334</v>
      </c>
      <c r="G123" s="1" t="s">
        <v>84</v>
      </c>
      <c r="H123" s="1">
        <f>(-45)+159</f>
        <v>114</v>
      </c>
      <c r="I123" s="1">
        <v>0</v>
      </c>
      <c r="J123" s="28">
        <f t="shared" si="3"/>
        <v>0</v>
      </c>
    </row>
    <row r="124" spans="2:10">
      <c r="B124" s="1" t="s">
        <v>174</v>
      </c>
      <c r="C124" s="1" t="s">
        <v>132</v>
      </c>
      <c r="D124" s="1">
        <v>43</v>
      </c>
      <c r="E124" s="1">
        <v>12</v>
      </c>
      <c r="F124" s="1">
        <f t="shared" si="4"/>
        <v>3.5833333333333335</v>
      </c>
      <c r="G124" s="1" t="s">
        <v>84</v>
      </c>
      <c r="H124" s="1">
        <f>(-44)+159</f>
        <v>115</v>
      </c>
      <c r="I124" s="1">
        <v>0</v>
      </c>
      <c r="J124" s="28">
        <f t="shared" si="3"/>
        <v>0</v>
      </c>
    </row>
    <row r="125" spans="2:10">
      <c r="B125" s="1" t="s">
        <v>175</v>
      </c>
      <c r="C125" s="1" t="s">
        <v>132</v>
      </c>
      <c r="D125" s="1">
        <v>11</v>
      </c>
      <c r="E125" s="1">
        <v>12</v>
      </c>
      <c r="F125" s="1">
        <f t="shared" si="4"/>
        <v>0.91666666666666663</v>
      </c>
      <c r="G125" s="1" t="s">
        <v>84</v>
      </c>
      <c r="H125" s="1">
        <f>(-43.4)+159</f>
        <v>115.6</v>
      </c>
      <c r="I125" s="1">
        <v>0</v>
      </c>
      <c r="J125" s="28">
        <f t="shared" si="3"/>
        <v>0</v>
      </c>
    </row>
    <row r="126" spans="2:10">
      <c r="B126" s="1" t="s">
        <v>176</v>
      </c>
      <c r="C126" s="1" t="s">
        <v>132</v>
      </c>
      <c r="D126" s="1">
        <v>2</v>
      </c>
      <c r="E126" s="1">
        <v>12</v>
      </c>
      <c r="F126" s="1">
        <f t="shared" si="4"/>
        <v>0.16666666666666666</v>
      </c>
      <c r="G126" s="1" t="s">
        <v>84</v>
      </c>
      <c r="H126" s="1">
        <f>(-43.9)+159</f>
        <v>115.1</v>
      </c>
      <c r="I126" s="1">
        <v>0</v>
      </c>
      <c r="J126" s="28">
        <f t="shared" si="3"/>
        <v>0</v>
      </c>
    </row>
    <row r="127" spans="2:10">
      <c r="B127" s="1" t="s">
        <v>177</v>
      </c>
      <c r="C127" s="1" t="s">
        <v>132</v>
      </c>
      <c r="D127" s="1">
        <v>1</v>
      </c>
      <c r="E127" s="1">
        <v>12</v>
      </c>
      <c r="F127" s="1">
        <f t="shared" si="4"/>
        <v>8.3333333333333329E-2</v>
      </c>
      <c r="G127" s="1" t="s">
        <v>84</v>
      </c>
      <c r="H127" s="1">
        <f>(-43.2)+159</f>
        <v>115.8</v>
      </c>
      <c r="I127" s="1">
        <v>0</v>
      </c>
      <c r="J127" s="28">
        <f t="shared" si="3"/>
        <v>0</v>
      </c>
    </row>
    <row r="128" spans="2:10">
      <c r="B128" s="1" t="s">
        <v>178</v>
      </c>
      <c r="C128" s="1" t="s">
        <v>132</v>
      </c>
      <c r="D128" s="1">
        <v>1</v>
      </c>
      <c r="E128" s="1">
        <v>12</v>
      </c>
      <c r="F128" s="1">
        <f t="shared" si="4"/>
        <v>8.3333333333333329E-2</v>
      </c>
      <c r="G128" s="1" t="s">
        <v>84</v>
      </c>
      <c r="H128" s="1">
        <f>(-42.3)+159</f>
        <v>116.7</v>
      </c>
      <c r="I128" s="1">
        <v>0</v>
      </c>
      <c r="J128" s="28">
        <f t="shared" si="3"/>
        <v>0</v>
      </c>
    </row>
    <row r="129" spans="1:10">
      <c r="A129" s="24">
        <v>40443</v>
      </c>
      <c r="B129" s="1" t="s">
        <v>180</v>
      </c>
      <c r="C129" s="1">
        <v>50</v>
      </c>
      <c r="D129" s="1">
        <v>2</v>
      </c>
      <c r="E129" s="1">
        <v>20</v>
      </c>
      <c r="F129" s="1">
        <f t="shared" si="4"/>
        <v>0.1</v>
      </c>
      <c r="G129" s="1" t="s">
        <v>84</v>
      </c>
      <c r="H129" s="1">
        <f>(-41.6)+159</f>
        <v>117.4</v>
      </c>
      <c r="I129" s="1">
        <v>0</v>
      </c>
      <c r="J129" s="28">
        <f t="shared" si="3"/>
        <v>0</v>
      </c>
    </row>
    <row r="130" spans="1:10">
      <c r="B130" s="1" t="s">
        <v>181</v>
      </c>
      <c r="C130" s="1">
        <v>100</v>
      </c>
      <c r="D130" s="1">
        <v>2</v>
      </c>
      <c r="E130" s="1">
        <v>20</v>
      </c>
      <c r="F130" s="1">
        <f t="shared" si="4"/>
        <v>0.1</v>
      </c>
      <c r="G130" s="1" t="s">
        <v>84</v>
      </c>
      <c r="H130" s="1">
        <f>(-42.2)+159</f>
        <v>116.8</v>
      </c>
      <c r="I130" s="1">
        <v>0</v>
      </c>
      <c r="J130" s="28">
        <f t="shared" si="3"/>
        <v>0</v>
      </c>
    </row>
    <row r="131" spans="1:10">
      <c r="B131" s="1" t="s">
        <v>182</v>
      </c>
      <c r="C131" s="1">
        <v>250</v>
      </c>
      <c r="D131" s="1">
        <v>0</v>
      </c>
      <c r="E131" s="1">
        <v>20</v>
      </c>
      <c r="F131" s="1">
        <f t="shared" si="4"/>
        <v>0</v>
      </c>
      <c r="G131" s="1" t="s">
        <v>84</v>
      </c>
      <c r="H131" s="1">
        <f>(-37.4)+159</f>
        <v>121.6</v>
      </c>
      <c r="I131" s="1">
        <v>0</v>
      </c>
      <c r="J131" s="28">
        <f t="shared" ref="J131:J155" si="5">I131/E131</f>
        <v>0</v>
      </c>
    </row>
    <row r="132" spans="1:10">
      <c r="B132" s="1" t="s">
        <v>183</v>
      </c>
      <c r="C132" s="1">
        <v>551</v>
      </c>
      <c r="D132" s="1">
        <v>2</v>
      </c>
      <c r="E132" s="1">
        <v>20</v>
      </c>
      <c r="F132" s="1">
        <f t="shared" si="4"/>
        <v>0.1</v>
      </c>
      <c r="G132" s="1" t="s">
        <v>84</v>
      </c>
      <c r="H132" s="1">
        <f>(-44.6)+159</f>
        <v>114.4</v>
      </c>
      <c r="I132" s="1">
        <v>0</v>
      </c>
      <c r="J132" s="28">
        <f t="shared" si="5"/>
        <v>0</v>
      </c>
    </row>
    <row r="133" spans="1:10">
      <c r="B133" s="1" t="s">
        <v>184</v>
      </c>
      <c r="C133" s="1">
        <v>250</v>
      </c>
      <c r="D133" s="1">
        <v>0</v>
      </c>
      <c r="E133" s="1">
        <v>20</v>
      </c>
      <c r="F133" s="1">
        <f t="shared" si="4"/>
        <v>0</v>
      </c>
      <c r="G133" s="1" t="s">
        <v>84</v>
      </c>
      <c r="H133" s="1">
        <f>(-34.2)+159</f>
        <v>124.8</v>
      </c>
      <c r="I133" s="1">
        <v>0</v>
      </c>
      <c r="J133" s="28">
        <f t="shared" si="5"/>
        <v>0</v>
      </c>
    </row>
    <row r="134" spans="1:10">
      <c r="B134" s="1" t="s">
        <v>185</v>
      </c>
      <c r="C134" s="1">
        <v>100</v>
      </c>
      <c r="D134" s="1">
        <v>4</v>
      </c>
      <c r="E134" s="1">
        <v>20</v>
      </c>
      <c r="F134" s="1">
        <f t="shared" si="4"/>
        <v>0.2</v>
      </c>
      <c r="G134" s="1" t="s">
        <v>84</v>
      </c>
      <c r="H134" s="1">
        <f>(-38.2)+159</f>
        <v>120.8</v>
      </c>
      <c r="I134" s="1">
        <v>0</v>
      </c>
      <c r="J134" s="28">
        <f t="shared" si="5"/>
        <v>0</v>
      </c>
    </row>
    <row r="135" spans="1:10">
      <c r="A135" s="24">
        <v>40454</v>
      </c>
      <c r="B135" s="1" t="s">
        <v>186</v>
      </c>
      <c r="C135" s="1">
        <v>301</v>
      </c>
      <c r="D135" s="1">
        <v>2614</v>
      </c>
      <c r="E135" s="1">
        <v>4</v>
      </c>
      <c r="F135" s="1">
        <f t="shared" si="4"/>
        <v>653.5</v>
      </c>
      <c r="G135" s="1" t="s">
        <v>84</v>
      </c>
      <c r="H135" s="1">
        <f>(-43)+159</f>
        <v>116</v>
      </c>
      <c r="I135" s="1">
        <v>6</v>
      </c>
      <c r="J135" s="28">
        <f t="shared" si="5"/>
        <v>1.5</v>
      </c>
    </row>
    <row r="136" spans="1:10">
      <c r="B136" s="1" t="s">
        <v>187</v>
      </c>
      <c r="C136" s="1">
        <v>103</v>
      </c>
      <c r="D136" s="1">
        <v>1299</v>
      </c>
      <c r="E136" s="1">
        <v>4</v>
      </c>
      <c r="F136" s="1">
        <f t="shared" si="4"/>
        <v>324.75</v>
      </c>
      <c r="G136" s="1" t="s">
        <v>84</v>
      </c>
      <c r="H136" s="1">
        <f>(-45.4)+159</f>
        <v>113.6</v>
      </c>
      <c r="I136" s="1">
        <v>5</v>
      </c>
      <c r="J136" s="28">
        <f t="shared" si="5"/>
        <v>1.25</v>
      </c>
    </row>
    <row r="137" spans="1:10">
      <c r="B137" s="1" t="s">
        <v>188</v>
      </c>
      <c r="C137" s="1">
        <v>103</v>
      </c>
      <c r="D137" s="1">
        <v>891</v>
      </c>
      <c r="E137" s="1">
        <v>4</v>
      </c>
      <c r="F137" s="1">
        <f t="shared" si="4"/>
        <v>222.75</v>
      </c>
      <c r="G137" s="1" t="s">
        <v>84</v>
      </c>
      <c r="H137" s="1">
        <f>(-40.6)+159</f>
        <v>118.4</v>
      </c>
      <c r="I137" s="1">
        <v>6</v>
      </c>
      <c r="J137" s="28">
        <f t="shared" si="5"/>
        <v>1.5</v>
      </c>
    </row>
    <row r="138" spans="1:10">
      <c r="B138" s="1" t="s">
        <v>189</v>
      </c>
      <c r="C138" s="1">
        <v>132</v>
      </c>
      <c r="D138" s="1">
        <v>1094</v>
      </c>
      <c r="E138" s="1">
        <v>4</v>
      </c>
      <c r="F138" s="1">
        <f t="shared" si="4"/>
        <v>273.5</v>
      </c>
      <c r="G138" s="1" t="s">
        <v>84</v>
      </c>
      <c r="H138" s="1">
        <f>(-40.9)+159</f>
        <v>118.1</v>
      </c>
      <c r="I138" s="1">
        <v>3</v>
      </c>
      <c r="J138" s="28">
        <f t="shared" si="5"/>
        <v>0.75</v>
      </c>
    </row>
    <row r="139" spans="1:10">
      <c r="B139" s="1" t="s">
        <v>190</v>
      </c>
      <c r="C139" s="1">
        <v>153</v>
      </c>
      <c r="D139" s="1">
        <v>788</v>
      </c>
      <c r="E139" s="1">
        <v>4</v>
      </c>
      <c r="F139" s="1">
        <f t="shared" si="4"/>
        <v>197</v>
      </c>
      <c r="G139" s="1" t="s">
        <v>84</v>
      </c>
      <c r="H139" s="1">
        <f>(-40.5)+159</f>
        <v>118.5</v>
      </c>
      <c r="I139" s="1">
        <v>4</v>
      </c>
      <c r="J139" s="28">
        <f t="shared" si="5"/>
        <v>1</v>
      </c>
    </row>
    <row r="140" spans="1:10">
      <c r="B140" s="1" t="s">
        <v>191</v>
      </c>
      <c r="C140" s="1">
        <v>103</v>
      </c>
      <c r="D140" s="1">
        <v>507</v>
      </c>
      <c r="E140" s="1">
        <v>4</v>
      </c>
      <c r="F140" s="1">
        <f t="shared" si="4"/>
        <v>126.75</v>
      </c>
      <c r="G140" s="1" t="s">
        <v>84</v>
      </c>
      <c r="H140" s="1">
        <f>(-40.9)+159</f>
        <v>118.1</v>
      </c>
      <c r="I140" s="1">
        <v>2</v>
      </c>
      <c r="J140" s="28">
        <f t="shared" si="5"/>
        <v>0.5</v>
      </c>
    </row>
    <row r="141" spans="1:10">
      <c r="B141" s="1" t="s">
        <v>192</v>
      </c>
      <c r="C141" s="1">
        <v>60</v>
      </c>
      <c r="D141" s="1">
        <v>312</v>
      </c>
      <c r="E141" s="1">
        <v>4</v>
      </c>
      <c r="F141" s="1">
        <f t="shared" si="4"/>
        <v>78</v>
      </c>
      <c r="G141" s="1" t="s">
        <v>84</v>
      </c>
      <c r="H141" s="1">
        <f>(-40.5)+159</f>
        <v>118.5</v>
      </c>
      <c r="I141" s="1">
        <v>1</v>
      </c>
      <c r="J141" s="28">
        <f t="shared" si="5"/>
        <v>0.25</v>
      </c>
    </row>
    <row r="142" spans="1:10">
      <c r="A142" s="24">
        <v>40457</v>
      </c>
      <c r="B142" s="1" t="s">
        <v>193</v>
      </c>
      <c r="C142" s="1">
        <v>49</v>
      </c>
      <c r="D142" s="1">
        <v>250</v>
      </c>
      <c r="E142" s="1">
        <v>4</v>
      </c>
      <c r="F142" s="1">
        <f t="shared" si="4"/>
        <v>62.5</v>
      </c>
      <c r="G142" s="1" t="s">
        <v>84</v>
      </c>
      <c r="H142" s="1">
        <f>(-42.9)+159</f>
        <v>116.1</v>
      </c>
      <c r="I142" s="1">
        <v>1</v>
      </c>
      <c r="J142" s="28">
        <f t="shared" si="5"/>
        <v>0.25</v>
      </c>
    </row>
    <row r="143" spans="1:10">
      <c r="B143" s="1" t="s">
        <v>194</v>
      </c>
      <c r="C143" s="1">
        <v>48</v>
      </c>
      <c r="D143" s="1">
        <v>188</v>
      </c>
      <c r="E143" s="1">
        <v>4</v>
      </c>
      <c r="F143" s="1">
        <f t="shared" si="4"/>
        <v>47</v>
      </c>
      <c r="G143" s="1" t="s">
        <v>84</v>
      </c>
      <c r="H143" s="1">
        <f>(-44.7)+159</f>
        <v>114.3</v>
      </c>
      <c r="I143" s="1">
        <v>1</v>
      </c>
      <c r="J143" s="28">
        <f t="shared" si="5"/>
        <v>0.25</v>
      </c>
    </row>
    <row r="144" spans="1:10">
      <c r="B144" s="1" t="s">
        <v>195</v>
      </c>
      <c r="C144" s="1">
        <v>59</v>
      </c>
      <c r="D144" s="1">
        <v>360</v>
      </c>
      <c r="E144" s="1">
        <v>4</v>
      </c>
      <c r="F144" s="1">
        <f t="shared" si="4"/>
        <v>90</v>
      </c>
      <c r="G144" s="1" t="s">
        <v>84</v>
      </c>
      <c r="H144" s="1">
        <f>(-43.2)+159</f>
        <v>115.8</v>
      </c>
      <c r="I144" s="1">
        <v>1</v>
      </c>
      <c r="J144" s="28">
        <f t="shared" si="5"/>
        <v>0.25</v>
      </c>
    </row>
    <row r="145" spans="1:10">
      <c r="B145" s="1" t="s">
        <v>196</v>
      </c>
      <c r="C145" s="1">
        <v>49</v>
      </c>
      <c r="D145" s="1">
        <v>273</v>
      </c>
      <c r="E145" s="1">
        <v>4</v>
      </c>
      <c r="F145" s="1">
        <f t="shared" si="4"/>
        <v>68.25</v>
      </c>
      <c r="G145" s="1" t="s">
        <v>84</v>
      </c>
      <c r="H145" s="1">
        <f>(-44.3)+159</f>
        <v>114.7</v>
      </c>
      <c r="I145" s="1">
        <v>0</v>
      </c>
      <c r="J145" s="28">
        <f t="shared" si="5"/>
        <v>0</v>
      </c>
    </row>
    <row r="146" spans="1:10">
      <c r="B146" s="1" t="s">
        <v>197</v>
      </c>
      <c r="C146" s="1">
        <v>54</v>
      </c>
      <c r="D146" s="1">
        <v>561</v>
      </c>
      <c r="E146" s="1">
        <v>4</v>
      </c>
      <c r="F146" s="1">
        <f t="shared" si="4"/>
        <v>140.25</v>
      </c>
      <c r="G146" s="1" t="s">
        <v>84</v>
      </c>
      <c r="H146" s="1">
        <f>(-44.7)+159</f>
        <v>114.3</v>
      </c>
      <c r="I146" s="1">
        <v>2</v>
      </c>
      <c r="J146" s="28">
        <f t="shared" si="5"/>
        <v>0.5</v>
      </c>
    </row>
    <row r="147" spans="1:10">
      <c r="B147" s="1" t="s">
        <v>198</v>
      </c>
      <c r="C147" s="1">
        <v>49</v>
      </c>
      <c r="D147" s="1">
        <v>433</v>
      </c>
      <c r="E147" s="1">
        <v>4</v>
      </c>
      <c r="F147" s="1">
        <f t="shared" si="4"/>
        <v>108.25</v>
      </c>
      <c r="G147" s="1" t="s">
        <v>84</v>
      </c>
      <c r="H147" s="1">
        <f>(-45.3)+159</f>
        <v>113.7</v>
      </c>
      <c r="I147" s="1">
        <v>0</v>
      </c>
      <c r="J147" s="28">
        <f t="shared" si="5"/>
        <v>0</v>
      </c>
    </row>
    <row r="148" spans="1:10">
      <c r="B148" s="1" t="s">
        <v>199</v>
      </c>
      <c r="C148" s="1">
        <v>81</v>
      </c>
      <c r="D148" s="1">
        <v>318</v>
      </c>
      <c r="E148" s="1">
        <v>4</v>
      </c>
      <c r="F148" s="1">
        <f t="shared" si="4"/>
        <v>79.5</v>
      </c>
      <c r="G148" s="1" t="s">
        <v>84</v>
      </c>
      <c r="H148" s="1">
        <f>(-45.2)+159</f>
        <v>113.8</v>
      </c>
      <c r="I148" s="1">
        <v>0</v>
      </c>
      <c r="J148" s="28">
        <f t="shared" si="5"/>
        <v>0</v>
      </c>
    </row>
    <row r="149" spans="1:10">
      <c r="B149" s="1" t="s">
        <v>200</v>
      </c>
      <c r="C149" s="1">
        <v>75</v>
      </c>
      <c r="D149" s="1">
        <v>314</v>
      </c>
      <c r="E149" s="1">
        <v>4</v>
      </c>
      <c r="F149" s="1">
        <f t="shared" si="4"/>
        <v>78.5</v>
      </c>
      <c r="G149" s="1" t="s">
        <v>84</v>
      </c>
      <c r="H149" s="1">
        <f>(-45.7)+159</f>
        <v>113.3</v>
      </c>
      <c r="I149" s="1">
        <v>2</v>
      </c>
      <c r="J149" s="28">
        <f t="shared" si="5"/>
        <v>0.5</v>
      </c>
    </row>
    <row r="150" spans="1:10">
      <c r="A150" s="24">
        <v>40458</v>
      </c>
      <c r="B150" s="1" t="s">
        <v>201</v>
      </c>
      <c r="C150" s="1">
        <v>50</v>
      </c>
      <c r="D150" s="1">
        <v>240</v>
      </c>
      <c r="E150" s="1">
        <v>2</v>
      </c>
      <c r="F150" s="1">
        <f t="shared" si="4"/>
        <v>120</v>
      </c>
      <c r="G150" s="1" t="s">
        <v>84</v>
      </c>
      <c r="H150" s="1">
        <f>(-44.1)+159</f>
        <v>114.9</v>
      </c>
      <c r="I150" s="1">
        <v>1</v>
      </c>
      <c r="J150" s="28">
        <f t="shared" si="5"/>
        <v>0.5</v>
      </c>
    </row>
    <row r="151" spans="1:10">
      <c r="B151" s="1" t="s">
        <v>202</v>
      </c>
      <c r="C151" s="1">
        <v>79</v>
      </c>
      <c r="D151" s="1">
        <v>246</v>
      </c>
      <c r="E151" s="1">
        <v>2</v>
      </c>
      <c r="F151" s="1">
        <f t="shared" si="4"/>
        <v>123</v>
      </c>
      <c r="G151" s="1" t="s">
        <v>84</v>
      </c>
      <c r="H151" s="1">
        <f>(-42.9)+159</f>
        <v>116.1</v>
      </c>
      <c r="I151" s="1">
        <v>1</v>
      </c>
      <c r="J151" s="28">
        <f t="shared" si="5"/>
        <v>0.5</v>
      </c>
    </row>
    <row r="152" spans="1:10">
      <c r="B152" s="1" t="s">
        <v>203</v>
      </c>
      <c r="C152" s="1">
        <v>88</v>
      </c>
      <c r="D152" s="1">
        <v>240</v>
      </c>
      <c r="E152" s="1">
        <v>2</v>
      </c>
      <c r="F152" s="1">
        <f t="shared" si="4"/>
        <v>120</v>
      </c>
      <c r="G152" s="1" t="s">
        <v>84</v>
      </c>
      <c r="H152" s="1">
        <f>(-44.3)+159</f>
        <v>114.7</v>
      </c>
      <c r="I152" s="1">
        <v>2</v>
      </c>
      <c r="J152" s="28">
        <f t="shared" si="5"/>
        <v>1</v>
      </c>
    </row>
    <row r="153" spans="1:10">
      <c r="B153" s="1" t="s">
        <v>204</v>
      </c>
      <c r="C153" s="1">
        <v>54</v>
      </c>
      <c r="D153" s="1">
        <v>382</v>
      </c>
      <c r="E153" s="1">
        <v>2</v>
      </c>
      <c r="F153" s="1">
        <f t="shared" si="4"/>
        <v>191</v>
      </c>
      <c r="G153" s="1" t="s">
        <v>84</v>
      </c>
      <c r="H153" s="1">
        <f>(-43.4)+159</f>
        <v>115.6</v>
      </c>
      <c r="I153" s="1">
        <v>2</v>
      </c>
      <c r="J153" s="28">
        <f t="shared" si="5"/>
        <v>1</v>
      </c>
    </row>
    <row r="154" spans="1:10">
      <c r="B154" s="1" t="s">
        <v>205</v>
      </c>
      <c r="C154" s="1">
        <v>40</v>
      </c>
      <c r="D154" s="1">
        <v>114</v>
      </c>
      <c r="E154" s="1">
        <v>2</v>
      </c>
      <c r="F154" s="1">
        <f t="shared" si="4"/>
        <v>57</v>
      </c>
      <c r="G154" s="1" t="s">
        <v>84</v>
      </c>
      <c r="H154" s="1">
        <f>(-45.4)+159</f>
        <v>113.6</v>
      </c>
      <c r="I154" s="1">
        <v>1</v>
      </c>
      <c r="J154" s="28">
        <f t="shared" si="5"/>
        <v>0.5</v>
      </c>
    </row>
    <row r="155" spans="1:10">
      <c r="B155" s="1" t="s">
        <v>206</v>
      </c>
      <c r="C155" s="1">
        <v>45</v>
      </c>
      <c r="D155" s="1">
        <v>51</v>
      </c>
      <c r="E155" s="1">
        <v>2</v>
      </c>
      <c r="F155" s="1">
        <f t="shared" si="4"/>
        <v>25.5</v>
      </c>
      <c r="G155" s="1" t="s">
        <v>84</v>
      </c>
      <c r="H155" s="1">
        <f>(-44.6)+159</f>
        <v>114.4</v>
      </c>
      <c r="I155" s="1">
        <v>0</v>
      </c>
      <c r="J155" s="28">
        <f t="shared" si="5"/>
        <v>0</v>
      </c>
    </row>
    <row r="158" spans="1:10">
      <c r="B158" s="39" t="s">
        <v>207</v>
      </c>
      <c r="C158" s="39"/>
      <c r="D158" s="26"/>
      <c r="E158" s="26"/>
    </row>
    <row r="159" spans="1:10">
      <c r="B159" s="29" t="s">
        <v>36</v>
      </c>
      <c r="C159" s="29">
        <f>AVERAGE(F2:F53)</f>
        <v>79.828891941391944</v>
      </c>
    </row>
    <row r="160" spans="1:10">
      <c r="B160" s="29" t="s">
        <v>115</v>
      </c>
      <c r="C160" s="29">
        <f>AVERAGE(F54:F75)</f>
        <v>48.090909090909093</v>
      </c>
    </row>
    <row r="161" spans="2:3">
      <c r="B161" s="29" t="s">
        <v>179</v>
      </c>
      <c r="C161" s="29">
        <f>AVERAGE(F76:F98)</f>
        <v>46.039855072463759</v>
      </c>
    </row>
    <row r="162" spans="2:3">
      <c r="B162" s="29" t="s">
        <v>161</v>
      </c>
      <c r="C162" s="29">
        <f>AVERAGE(F99:F104)</f>
        <v>180.04166666666666</v>
      </c>
    </row>
    <row r="163" spans="2:3">
      <c r="B163" s="29" t="s">
        <v>208</v>
      </c>
      <c r="C163" s="29">
        <f>AVERAGE(F104:F155)</f>
        <v>118.58814102564104</v>
      </c>
    </row>
    <row r="166" spans="2:3">
      <c r="B166" s="33" t="s">
        <v>209</v>
      </c>
      <c r="C166" s="33"/>
    </row>
    <row r="167" spans="2:3">
      <c r="B167" s="1" t="s">
        <v>36</v>
      </c>
      <c r="C167" s="1">
        <f>AVERAGE(D2:D53)</f>
        <v>370.07692307692309</v>
      </c>
    </row>
    <row r="168" spans="2:3">
      <c r="B168" s="1" t="s">
        <v>115</v>
      </c>
      <c r="C168" s="1">
        <f>AVERAGE(D54:D75)</f>
        <v>209.54545454545453</v>
      </c>
    </row>
    <row r="169" spans="2:3">
      <c r="B169" s="1" t="s">
        <v>179</v>
      </c>
      <c r="C169" s="1">
        <f>AVERAGE(D76:D98)</f>
        <v>292.47826086956519</v>
      </c>
    </row>
    <row r="170" spans="2:3">
      <c r="B170" s="1" t="s">
        <v>161</v>
      </c>
      <c r="C170" s="1">
        <f>AVERAGE(D99:D103)</f>
        <v>389.6</v>
      </c>
    </row>
    <row r="171" spans="2:3">
      <c r="B171" s="1" t="s">
        <v>84</v>
      </c>
      <c r="C171" s="1">
        <f>AVERAGE(D104:D155)</f>
        <v>353.05769230769232</v>
      </c>
    </row>
    <row r="174" spans="2:3">
      <c r="B174" s="33" t="s">
        <v>226</v>
      </c>
      <c r="C174" s="33"/>
    </row>
    <row r="175" spans="2:3">
      <c r="B175" s="1" t="s">
        <v>36</v>
      </c>
      <c r="C175" s="1">
        <v>0.70924908424908417</v>
      </c>
    </row>
    <row r="176" spans="2:3">
      <c r="B176" s="1" t="s">
        <v>115</v>
      </c>
      <c r="C176" s="1">
        <v>0.38636363636363635</v>
      </c>
    </row>
    <row r="177" spans="1:3">
      <c r="B177" s="1" t="s">
        <v>179</v>
      </c>
      <c r="C177" s="1">
        <v>0.13819875776397514</v>
      </c>
    </row>
    <row r="178" spans="1:3">
      <c r="B178" s="1" t="s">
        <v>161</v>
      </c>
      <c r="C178" s="1">
        <v>0.75</v>
      </c>
    </row>
    <row r="179" spans="1:3">
      <c r="B179" s="1" t="s">
        <v>84</v>
      </c>
      <c r="C179" s="1">
        <v>0.79807692307692313</v>
      </c>
    </row>
    <row r="192" spans="1:3">
      <c r="A192" s="37" t="s">
        <v>213</v>
      </c>
      <c r="B192" s="38"/>
      <c r="C192" s="38"/>
    </row>
    <row r="193" spans="1:12">
      <c r="A193" s="19" t="s">
        <v>36</v>
      </c>
      <c r="B193" s="19">
        <f>STDEV(F2:F53)</f>
        <v>62.098154095601089</v>
      </c>
    </row>
    <row r="194" spans="1:12">
      <c r="A194" s="16" t="s">
        <v>115</v>
      </c>
      <c r="B194" s="16">
        <f>STDEV(F54:F75)</f>
        <v>35.828653340481544</v>
      </c>
    </row>
    <row r="195" spans="1:12">
      <c r="A195" s="16" t="s">
        <v>179</v>
      </c>
      <c r="B195" s="16">
        <f>STDEV(F76:F98)</f>
        <v>57.540790610794822</v>
      </c>
    </row>
    <row r="196" spans="1:12">
      <c r="A196" s="16" t="s">
        <v>161</v>
      </c>
      <c r="B196" s="16">
        <f>STDEV(F99:F103)</f>
        <v>164.92826091971017</v>
      </c>
    </row>
    <row r="197" spans="1:12">
      <c r="A197" s="16" t="s">
        <v>84</v>
      </c>
      <c r="B197" s="16">
        <f>STDEV(F104:F155)</f>
        <v>165.50369942802837</v>
      </c>
    </row>
    <row r="199" spans="1:12">
      <c r="A199" s="34" t="s">
        <v>210</v>
      </c>
      <c r="B199" s="34"/>
      <c r="C199" s="16" t="s">
        <v>211</v>
      </c>
    </row>
    <row r="200" spans="1:12">
      <c r="A200" s="16" t="s">
        <v>36</v>
      </c>
      <c r="B200" s="16">
        <v>52</v>
      </c>
      <c r="C200" s="16">
        <f>SQRT(B200)</f>
        <v>7.2111025509279782</v>
      </c>
      <c r="L200" s="1">
        <f>SUM(B200:B204)</f>
        <v>154</v>
      </c>
    </row>
    <row r="201" spans="1:12">
      <c r="A201" s="16" t="s">
        <v>115</v>
      </c>
      <c r="B201" s="16">
        <v>22</v>
      </c>
      <c r="C201" s="16">
        <f>SQRT(B201)</f>
        <v>4.6904157598234297</v>
      </c>
    </row>
    <row r="202" spans="1:12">
      <c r="A202" s="16" t="s">
        <v>179</v>
      </c>
      <c r="B202" s="16">
        <v>23</v>
      </c>
      <c r="C202" s="16">
        <f>SQRT(B202)</f>
        <v>4.7958315233127191</v>
      </c>
    </row>
    <row r="203" spans="1:12">
      <c r="A203" s="16" t="s">
        <v>161</v>
      </c>
      <c r="B203" s="16">
        <v>5</v>
      </c>
      <c r="C203" s="16">
        <f>SQRT(B203)</f>
        <v>2.2360679774997898</v>
      </c>
    </row>
    <row r="204" spans="1:12">
      <c r="A204" s="16" t="s">
        <v>84</v>
      </c>
      <c r="B204" s="16">
        <v>52</v>
      </c>
      <c r="C204" s="16">
        <f>SQRT(B204)</f>
        <v>7.2111025509279782</v>
      </c>
    </row>
    <row r="208" spans="1:12">
      <c r="A208" s="36" t="s">
        <v>212</v>
      </c>
      <c r="B208" s="36"/>
    </row>
    <row r="209" spans="1:3">
      <c r="A209" s="16" t="s">
        <v>36</v>
      </c>
      <c r="B209" s="16">
        <f>B193/C200</f>
        <v>8.6114645655136108</v>
      </c>
    </row>
    <row r="210" spans="1:3">
      <c r="A210" s="16" t="s">
        <v>115</v>
      </c>
      <c r="B210" s="16">
        <f>B194/C201</f>
        <v>7.6386945582474999</v>
      </c>
    </row>
    <row r="211" spans="1:3">
      <c r="A211" s="16" t="s">
        <v>179</v>
      </c>
      <c r="B211" s="16">
        <f>B195/C202</f>
        <v>11.998084238590712</v>
      </c>
    </row>
    <row r="212" spans="1:3">
      <c r="A212" s="16" t="s">
        <v>161</v>
      </c>
      <c r="B212" s="16">
        <f>B196/C203</f>
        <v>73.75816056545878</v>
      </c>
    </row>
    <row r="213" spans="1:3">
      <c r="A213" s="16" t="s">
        <v>84</v>
      </c>
      <c r="B213" s="16">
        <f>B197/C204</f>
        <v>22.95123363718217</v>
      </c>
    </row>
    <row r="216" spans="1:3">
      <c r="A216" s="35" t="s">
        <v>214</v>
      </c>
      <c r="B216" s="35"/>
      <c r="C216" s="35"/>
    </row>
    <row r="217" spans="1:3">
      <c r="A217" s="16" t="s">
        <v>36</v>
      </c>
      <c r="B217" s="16">
        <f>STDEV(D2:D53)</f>
        <v>351.10005535285563</v>
      </c>
    </row>
    <row r="218" spans="1:3">
      <c r="A218" s="16" t="s">
        <v>115</v>
      </c>
      <c r="B218" s="16">
        <f>STDEV(D54:D75)</f>
        <v>126.76139087454909</v>
      </c>
    </row>
    <row r="219" spans="1:3">
      <c r="A219" s="16" t="s">
        <v>179</v>
      </c>
      <c r="B219" s="16">
        <f>STDEV(D76:D98)</f>
        <v>379.28244088076934</v>
      </c>
    </row>
    <row r="220" spans="1:3">
      <c r="A220" s="16" t="s">
        <v>161</v>
      </c>
      <c r="B220" s="16">
        <f>STDEV(D99:D103)</f>
        <v>301.49759534696125</v>
      </c>
    </row>
    <row r="221" spans="1:3">
      <c r="A221" s="16" t="s">
        <v>84</v>
      </c>
      <c r="B221" s="16">
        <f>STDEV(D104:D155)</f>
        <v>475.00618833787422</v>
      </c>
    </row>
    <row r="223" spans="1:3">
      <c r="A223" s="35" t="s">
        <v>212</v>
      </c>
      <c r="B223" s="35"/>
    </row>
    <row r="224" spans="1:3">
      <c r="A224" s="16" t="s">
        <v>36</v>
      </c>
      <c r="B224" s="16">
        <f>B217/C200</f>
        <v>48.688817399729459</v>
      </c>
    </row>
    <row r="225" spans="1:2">
      <c r="A225" s="16" t="s">
        <v>115</v>
      </c>
      <c r="B225" s="16">
        <f>B218/C201</f>
        <v>27.025619340687406</v>
      </c>
    </row>
    <row r="226" spans="1:2">
      <c r="A226" s="16" t="s">
        <v>179</v>
      </c>
      <c r="B226" s="16">
        <f>B219/C202</f>
        <v>79.085855922390721</v>
      </c>
    </row>
    <row r="227" spans="1:2">
      <c r="A227" s="16" t="s">
        <v>161</v>
      </c>
      <c r="B227" s="16">
        <f>B220/C203</f>
        <v>134.83382364970592</v>
      </c>
    </row>
    <row r="228" spans="1:2">
      <c r="A228" s="16" t="s">
        <v>84</v>
      </c>
      <c r="B228" s="16">
        <f>B221/C204</f>
        <v>65.871506469804245</v>
      </c>
    </row>
  </sheetData>
  <autoFilter ref="G1:G155">
    <sortState ref="G2:G155">
      <sortCondition ref="G1:G155"/>
    </sortState>
  </autoFilter>
  <mergeCells count="15">
    <mergeCell ref="A223:B223"/>
    <mergeCell ref="B158:C158"/>
    <mergeCell ref="B166:C166"/>
    <mergeCell ref="A199:B199"/>
    <mergeCell ref="A208:B208"/>
    <mergeCell ref="A192:C192"/>
    <mergeCell ref="B174:C174"/>
    <mergeCell ref="N2:O2"/>
    <mergeCell ref="N9:O9"/>
    <mergeCell ref="Q9:R9"/>
    <mergeCell ref="Q17:R17"/>
    <mergeCell ref="A216:C216"/>
    <mergeCell ref="N26:O26"/>
    <mergeCell ref="N33:O33"/>
    <mergeCell ref="N41:O41"/>
  </mergeCells>
  <pageMargins left="0.7" right="0.7" top="0.75" bottom="0.75" header="0.3" footer="0.3"/>
  <pageSetup orientation="portrait" horizontalDpi="300" verticalDpi="0" r:id="rId1"/>
  <ignoredErrors>
    <ignoredError sqref="H20 H139:H14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topLeftCell="D4" workbookViewId="0">
      <selection activeCell="Q31" sqref="Q31"/>
    </sheetView>
  </sheetViews>
  <sheetFormatPr defaultRowHeight="15"/>
  <cols>
    <col min="1" max="1" width="11.28515625" customWidth="1"/>
    <col min="2" max="2" width="13.85546875" customWidth="1"/>
    <col min="3" max="3" width="13.28515625" customWidth="1"/>
    <col min="4" max="4" width="15.5703125" bestFit="1" customWidth="1"/>
    <col min="5" max="5" width="18" style="1" customWidth="1"/>
    <col min="6" max="6" width="13.42578125" style="1" customWidth="1"/>
  </cols>
  <sheetData>
    <row r="1" spans="1:6">
      <c r="A1" s="3" t="s">
        <v>6</v>
      </c>
      <c r="B1" s="3" t="s">
        <v>0</v>
      </c>
      <c r="C1" s="3" t="s">
        <v>41</v>
      </c>
      <c r="D1" s="3" t="s">
        <v>55</v>
      </c>
      <c r="E1" s="3" t="s">
        <v>57</v>
      </c>
      <c r="F1" s="22" t="s">
        <v>56</v>
      </c>
    </row>
    <row r="2" spans="1:6">
      <c r="A2" s="18">
        <v>40437</v>
      </c>
      <c r="B2" s="16" t="s">
        <v>24</v>
      </c>
      <c r="C2" s="16">
        <v>463</v>
      </c>
      <c r="D2" s="16">
        <v>516</v>
      </c>
      <c r="E2" s="16">
        <v>15</v>
      </c>
      <c r="F2" s="23">
        <v>458</v>
      </c>
    </row>
    <row r="3" spans="1:6">
      <c r="A3" s="18"/>
      <c r="B3" s="16" t="s">
        <v>29</v>
      </c>
      <c r="C3" s="16">
        <v>417</v>
      </c>
      <c r="D3" s="16">
        <v>329</v>
      </c>
      <c r="E3" s="16">
        <v>14</v>
      </c>
      <c r="F3" s="23">
        <v>291</v>
      </c>
    </row>
    <row r="4" spans="1:6">
      <c r="A4" s="16"/>
      <c r="B4" s="16" t="s">
        <v>30</v>
      </c>
      <c r="C4" s="16">
        <v>383</v>
      </c>
      <c r="D4" s="16">
        <v>425</v>
      </c>
      <c r="E4" s="16">
        <v>22</v>
      </c>
      <c r="F4" s="23">
        <v>371</v>
      </c>
    </row>
    <row r="5" spans="1:6">
      <c r="A5" s="16"/>
      <c r="B5" s="16" t="s">
        <v>31</v>
      </c>
      <c r="C5" s="16">
        <v>530</v>
      </c>
      <c r="D5" s="16">
        <v>569</v>
      </c>
      <c r="E5" s="16">
        <v>11</v>
      </c>
      <c r="F5" s="23">
        <v>530</v>
      </c>
    </row>
    <row r="6" spans="1:6">
      <c r="A6" s="16"/>
      <c r="B6" s="16" t="s">
        <v>32</v>
      </c>
      <c r="C6" s="16">
        <v>402</v>
      </c>
      <c r="D6" s="16">
        <v>400</v>
      </c>
      <c r="E6" s="16">
        <v>16</v>
      </c>
      <c r="F6" s="23">
        <v>328</v>
      </c>
    </row>
    <row r="7" spans="1:6">
      <c r="A7" s="16"/>
      <c r="B7" s="16" t="s">
        <v>33</v>
      </c>
      <c r="C7" s="16">
        <v>357</v>
      </c>
      <c r="D7" s="16">
        <v>337</v>
      </c>
      <c r="E7" s="16">
        <v>10</v>
      </c>
      <c r="F7" s="23">
        <v>316</v>
      </c>
    </row>
    <row r="8" spans="1:6">
      <c r="A8" s="16"/>
      <c r="B8" s="16" t="s">
        <v>35</v>
      </c>
      <c r="C8" s="16">
        <v>284</v>
      </c>
      <c r="D8" s="16">
        <v>118</v>
      </c>
      <c r="E8" s="16">
        <v>8</v>
      </c>
      <c r="F8" s="23">
        <v>102</v>
      </c>
    </row>
    <row r="9" spans="1:6">
      <c r="A9" s="16"/>
      <c r="B9" s="16" t="s">
        <v>38</v>
      </c>
      <c r="C9" s="16">
        <v>385</v>
      </c>
      <c r="D9" s="16">
        <v>512</v>
      </c>
      <c r="E9" s="16">
        <v>34</v>
      </c>
      <c r="F9" s="23">
        <v>463</v>
      </c>
    </row>
    <row r="10" spans="1:6">
      <c r="A10" s="16"/>
      <c r="B10" s="19" t="s">
        <v>42</v>
      </c>
      <c r="C10" s="16">
        <v>909</v>
      </c>
      <c r="D10" s="16">
        <v>1252</v>
      </c>
      <c r="E10" s="16">
        <v>44</v>
      </c>
      <c r="F10" s="23">
        <v>1099</v>
      </c>
    </row>
    <row r="11" spans="1:6">
      <c r="A11" s="16"/>
      <c r="B11" s="19" t="s">
        <v>44</v>
      </c>
      <c r="C11" s="16">
        <v>0</v>
      </c>
      <c r="D11" s="16">
        <v>0</v>
      </c>
      <c r="E11" s="16">
        <v>0</v>
      </c>
      <c r="F11" s="23">
        <v>0</v>
      </c>
    </row>
    <row r="12" spans="1:6">
      <c r="A12" s="18">
        <v>40441</v>
      </c>
      <c r="B12" s="19" t="s">
        <v>46</v>
      </c>
      <c r="C12" s="16">
        <v>161</v>
      </c>
      <c r="D12" s="16">
        <v>417</v>
      </c>
      <c r="E12" s="16">
        <v>152</v>
      </c>
      <c r="F12" s="23">
        <v>406</v>
      </c>
    </row>
    <row r="13" spans="1:6">
      <c r="A13" s="18"/>
      <c r="B13" s="19" t="s">
        <v>49</v>
      </c>
      <c r="C13" s="16">
        <v>102</v>
      </c>
      <c r="D13" s="16">
        <v>315</v>
      </c>
      <c r="E13" s="16">
        <v>132</v>
      </c>
      <c r="F13" s="23">
        <v>301</v>
      </c>
    </row>
    <row r="14" spans="1:6">
      <c r="A14" s="16"/>
      <c r="B14" s="16" t="s">
        <v>45</v>
      </c>
      <c r="C14" s="16">
        <v>26</v>
      </c>
      <c r="D14" s="16">
        <v>19</v>
      </c>
      <c r="E14" s="16">
        <v>116</v>
      </c>
      <c r="F14" s="23">
        <v>18</v>
      </c>
    </row>
    <row r="15" spans="1:6">
      <c r="A15" s="18">
        <v>40442</v>
      </c>
      <c r="B15" s="16" t="s">
        <v>47</v>
      </c>
      <c r="C15" s="16">
        <v>529</v>
      </c>
      <c r="D15" s="16">
        <v>894</v>
      </c>
      <c r="E15" s="16">
        <v>301</v>
      </c>
      <c r="F15" s="23">
        <v>748</v>
      </c>
    </row>
    <row r="16" spans="1:6">
      <c r="A16" s="16"/>
      <c r="B16" s="16"/>
      <c r="C16" s="16"/>
      <c r="D16" s="16"/>
    </row>
    <row r="17" spans="1:5">
      <c r="A17" s="16"/>
      <c r="B17" s="16"/>
      <c r="C17" s="16"/>
      <c r="D17" s="16"/>
    </row>
    <row r="18" spans="1:5">
      <c r="A18" s="16"/>
      <c r="B18" s="16"/>
      <c r="C18" s="16"/>
      <c r="D18" s="16"/>
    </row>
    <row r="19" spans="1:5">
      <c r="A19" s="16"/>
      <c r="B19" s="16"/>
      <c r="C19" s="16"/>
      <c r="D19" s="16"/>
    </row>
    <row r="20" spans="1:5">
      <c r="A20" s="16"/>
      <c r="B20" s="16"/>
      <c r="C20" s="16"/>
      <c r="D20" s="16"/>
    </row>
    <row r="21" spans="1:5">
      <c r="A21" s="16"/>
      <c r="B21" s="16"/>
      <c r="C21" s="16"/>
      <c r="D21" s="16"/>
    </row>
    <row r="22" spans="1:5">
      <c r="A22" s="16"/>
      <c r="B22" s="16"/>
      <c r="C22" s="16"/>
      <c r="D22" s="16"/>
    </row>
    <row r="23" spans="1:5">
      <c r="A23" s="16"/>
      <c r="B23" s="16"/>
      <c r="C23" s="16"/>
      <c r="D23" s="16"/>
    </row>
    <row r="24" spans="1:5">
      <c r="A24" s="16"/>
      <c r="B24" s="16"/>
      <c r="C24" s="16"/>
      <c r="D24" s="16"/>
    </row>
    <row r="25" spans="1:5">
      <c r="A25" s="16"/>
      <c r="B25" s="16"/>
      <c r="C25" s="16"/>
      <c r="D25" s="16"/>
    </row>
    <row r="26" spans="1:5">
      <c r="A26" s="18">
        <v>40441</v>
      </c>
      <c r="B26" s="19" t="s">
        <v>43</v>
      </c>
      <c r="C26" s="16">
        <v>376</v>
      </c>
      <c r="D26" s="16">
        <v>1189</v>
      </c>
      <c r="E26" s="1" t="s">
        <v>48</v>
      </c>
    </row>
    <row r="27" spans="1:5">
      <c r="A27" s="16"/>
      <c r="B27" s="16"/>
      <c r="C27" s="16"/>
      <c r="D27" s="16"/>
    </row>
    <row r="28" spans="1:5">
      <c r="A28" s="1"/>
      <c r="B28" s="1"/>
      <c r="C28" s="1"/>
      <c r="D28" s="1"/>
    </row>
    <row r="29" spans="1:5">
      <c r="A29" s="1"/>
      <c r="B29" s="1"/>
      <c r="C29" s="1"/>
      <c r="D29" s="1"/>
    </row>
    <row r="30" spans="1:5">
      <c r="A30" s="1"/>
      <c r="B30" s="1"/>
      <c r="C30" s="1"/>
      <c r="D30" s="1"/>
    </row>
    <row r="31" spans="1:5">
      <c r="A31" s="1"/>
      <c r="B31" s="1"/>
      <c r="C31" s="1"/>
      <c r="D31" s="1"/>
    </row>
    <row r="32" spans="1:5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topLeftCell="B1" workbookViewId="0">
      <selection activeCell="J5" sqref="J5"/>
    </sheetView>
  </sheetViews>
  <sheetFormatPr defaultRowHeight="15"/>
  <cols>
    <col min="1" max="1" width="10.85546875" customWidth="1"/>
    <col min="2" max="2" width="14.7109375" style="1" customWidth="1"/>
    <col min="3" max="3" width="19.7109375" style="1" customWidth="1"/>
    <col min="4" max="4" width="18.5703125" style="1" customWidth="1"/>
    <col min="5" max="6" width="23" style="1" customWidth="1"/>
    <col min="7" max="8" width="15.140625" style="1" customWidth="1"/>
    <col min="9" max="9" width="14.85546875" style="1" customWidth="1"/>
    <col min="10" max="10" width="18.85546875" style="1" customWidth="1"/>
    <col min="12" max="12" width="12" bestFit="1" customWidth="1"/>
  </cols>
  <sheetData>
    <row r="1" spans="1:10">
      <c r="A1" s="3" t="s">
        <v>6</v>
      </c>
      <c r="B1" s="3" t="s">
        <v>0</v>
      </c>
      <c r="C1" s="3" t="s">
        <v>22</v>
      </c>
      <c r="D1" s="3" t="s">
        <v>21</v>
      </c>
      <c r="E1" s="3" t="s">
        <v>23</v>
      </c>
      <c r="F1" s="3" t="s">
        <v>28</v>
      </c>
      <c r="G1" s="3" t="s">
        <v>1</v>
      </c>
      <c r="H1" s="3" t="s">
        <v>5</v>
      </c>
      <c r="I1" s="3" t="s">
        <v>4</v>
      </c>
      <c r="J1" s="3" t="s">
        <v>27</v>
      </c>
    </row>
    <row r="2" spans="1:10">
      <c r="A2" s="17">
        <v>40437</v>
      </c>
      <c r="B2" s="16" t="s">
        <v>24</v>
      </c>
      <c r="C2" s="16">
        <f>((20+56+50+62+16+25+23+15+45+20)+ (376))/2</f>
        <v>354</v>
      </c>
      <c r="D2" s="16">
        <f>18+10+12+30+39</f>
        <v>109</v>
      </c>
      <c r="E2" s="16">
        <f>C2+D2</f>
        <v>463</v>
      </c>
      <c r="F2" s="16">
        <f>E2/I2</f>
        <v>115.75</v>
      </c>
      <c r="G2" s="16" t="s">
        <v>25</v>
      </c>
      <c r="H2" s="16" t="s">
        <v>26</v>
      </c>
      <c r="I2" s="16">
        <v>4</v>
      </c>
      <c r="J2" s="16">
        <f>(-61.5)+159</f>
        <v>97.5</v>
      </c>
    </row>
    <row r="3" spans="1:10">
      <c r="A3" s="17">
        <v>40437</v>
      </c>
      <c r="B3" s="16" t="s">
        <v>29</v>
      </c>
      <c r="C3" s="16">
        <v>331</v>
      </c>
      <c r="D3" s="16">
        <v>86</v>
      </c>
      <c r="E3" s="16">
        <f t="shared" ref="E3:E25" si="0">C3+D3</f>
        <v>417</v>
      </c>
      <c r="F3" s="16">
        <f t="shared" ref="F3:F25" si="1">E3/I3</f>
        <v>104.25</v>
      </c>
      <c r="G3" s="16" t="s">
        <v>25</v>
      </c>
      <c r="H3" s="16" t="s">
        <v>26</v>
      </c>
      <c r="I3" s="16">
        <v>4</v>
      </c>
      <c r="J3" s="16">
        <f>(-59.6)+159</f>
        <v>99.4</v>
      </c>
    </row>
    <row r="4" spans="1:10">
      <c r="A4" s="17">
        <v>40437</v>
      </c>
      <c r="B4" s="16" t="s">
        <v>30</v>
      </c>
      <c r="C4" s="16">
        <v>339</v>
      </c>
      <c r="D4" s="16">
        <v>44</v>
      </c>
      <c r="E4" s="16">
        <f t="shared" si="0"/>
        <v>383</v>
      </c>
      <c r="F4" s="16">
        <f t="shared" si="1"/>
        <v>95.75</v>
      </c>
      <c r="G4" s="16" t="s">
        <v>25</v>
      </c>
      <c r="H4" s="16" t="s">
        <v>26</v>
      </c>
      <c r="I4" s="16">
        <v>4</v>
      </c>
      <c r="J4" s="16">
        <f>(-61.9)+159</f>
        <v>97.1</v>
      </c>
    </row>
    <row r="5" spans="1:10">
      <c r="A5" s="17">
        <v>40437</v>
      </c>
      <c r="B5" s="16" t="s">
        <v>31</v>
      </c>
      <c r="C5" s="16">
        <v>404</v>
      </c>
      <c r="D5" s="16">
        <v>126</v>
      </c>
      <c r="E5" s="16">
        <f t="shared" si="0"/>
        <v>530</v>
      </c>
      <c r="F5" s="16">
        <f t="shared" si="1"/>
        <v>132.5</v>
      </c>
      <c r="G5" s="16" t="s">
        <v>25</v>
      </c>
      <c r="H5" s="16" t="s">
        <v>26</v>
      </c>
      <c r="I5" s="16">
        <v>4</v>
      </c>
      <c r="J5" s="16">
        <f>(-62.1)+159</f>
        <v>96.9</v>
      </c>
    </row>
    <row r="6" spans="1:10">
      <c r="A6" s="17">
        <v>40437</v>
      </c>
      <c r="B6" s="16" t="s">
        <v>32</v>
      </c>
      <c r="C6" s="16">
        <v>306</v>
      </c>
      <c r="D6" s="16">
        <v>96</v>
      </c>
      <c r="E6" s="16">
        <f t="shared" si="0"/>
        <v>402</v>
      </c>
      <c r="F6" s="16">
        <f t="shared" si="1"/>
        <v>100.5</v>
      </c>
      <c r="G6" s="16" t="s">
        <v>25</v>
      </c>
      <c r="H6" s="16" t="s">
        <v>26</v>
      </c>
      <c r="I6" s="16">
        <v>4</v>
      </c>
      <c r="J6" s="16">
        <f>(-62.2)+159</f>
        <v>96.8</v>
      </c>
    </row>
    <row r="7" spans="1:10">
      <c r="A7" s="17">
        <v>40437</v>
      </c>
      <c r="B7" s="16" t="s">
        <v>33</v>
      </c>
      <c r="C7" s="16">
        <v>271</v>
      </c>
      <c r="D7" s="16">
        <v>86</v>
      </c>
      <c r="E7" s="16">
        <f t="shared" si="0"/>
        <v>357</v>
      </c>
      <c r="F7" s="16">
        <f t="shared" si="1"/>
        <v>59.5</v>
      </c>
      <c r="G7" s="16" t="s">
        <v>25</v>
      </c>
      <c r="H7" s="16" t="s">
        <v>34</v>
      </c>
      <c r="I7" s="16">
        <v>6</v>
      </c>
      <c r="J7" s="16">
        <f>(-65.5)+159</f>
        <v>93.5</v>
      </c>
    </row>
    <row r="8" spans="1:10">
      <c r="A8" s="17">
        <v>40437</v>
      </c>
      <c r="B8" s="16" t="s">
        <v>35</v>
      </c>
      <c r="C8" s="16">
        <v>214</v>
      </c>
      <c r="D8" s="16">
        <v>70</v>
      </c>
      <c r="E8" s="16">
        <f t="shared" si="0"/>
        <v>284</v>
      </c>
      <c r="F8" s="16">
        <f t="shared" si="1"/>
        <v>40.571428571428569</v>
      </c>
      <c r="G8" s="16" t="s">
        <v>36</v>
      </c>
      <c r="H8" s="16" t="s">
        <v>37</v>
      </c>
      <c r="I8" s="16">
        <v>7</v>
      </c>
      <c r="J8" s="16">
        <f>(-62.5)+159</f>
        <v>96.5</v>
      </c>
    </row>
    <row r="9" spans="1:10">
      <c r="A9" s="17">
        <v>40437</v>
      </c>
      <c r="B9" s="16" t="s">
        <v>38</v>
      </c>
      <c r="C9" s="16">
        <v>222</v>
      </c>
      <c r="D9" s="16">
        <v>138</v>
      </c>
      <c r="E9" s="16">
        <f t="shared" si="0"/>
        <v>360</v>
      </c>
      <c r="F9" s="16">
        <f t="shared" si="1"/>
        <v>51.428571428571431</v>
      </c>
      <c r="G9" s="16" t="s">
        <v>36</v>
      </c>
      <c r="H9" s="16" t="s">
        <v>37</v>
      </c>
      <c r="I9" s="16">
        <v>7</v>
      </c>
      <c r="J9" s="16">
        <f>(-59.8)+159</f>
        <v>99.2</v>
      </c>
    </row>
    <row r="10" spans="1:10">
      <c r="A10" s="15">
        <v>40441</v>
      </c>
      <c r="B10" s="1" t="s">
        <v>39</v>
      </c>
      <c r="E10" s="1">
        <f t="shared" si="0"/>
        <v>0</v>
      </c>
      <c r="F10" s="1" t="e">
        <f t="shared" si="1"/>
        <v>#DIV/0!</v>
      </c>
    </row>
    <row r="11" spans="1:10">
      <c r="E11" s="1">
        <f t="shared" si="0"/>
        <v>0</v>
      </c>
      <c r="F11" s="1" t="e">
        <f t="shared" si="1"/>
        <v>#DIV/0!</v>
      </c>
    </row>
    <row r="12" spans="1:10">
      <c r="E12" s="1">
        <f t="shared" si="0"/>
        <v>0</v>
      </c>
      <c r="F12" s="1" t="e">
        <f t="shared" si="1"/>
        <v>#DIV/0!</v>
      </c>
    </row>
    <row r="13" spans="1:10">
      <c r="E13" s="1">
        <f t="shared" si="0"/>
        <v>0</v>
      </c>
      <c r="F13" s="1" t="e">
        <f t="shared" si="1"/>
        <v>#DIV/0!</v>
      </c>
    </row>
    <row r="14" spans="1:10">
      <c r="E14" s="1">
        <f t="shared" si="0"/>
        <v>0</v>
      </c>
      <c r="F14" s="1" t="e">
        <f t="shared" si="1"/>
        <v>#DIV/0!</v>
      </c>
    </row>
    <row r="15" spans="1:10">
      <c r="E15" s="1">
        <f t="shared" si="0"/>
        <v>0</v>
      </c>
      <c r="F15" s="1" t="e">
        <f t="shared" si="1"/>
        <v>#DIV/0!</v>
      </c>
      <c r="H15" s="1" t="s">
        <v>40</v>
      </c>
    </row>
    <row r="16" spans="1:10">
      <c r="E16" s="1">
        <f t="shared" si="0"/>
        <v>0</v>
      </c>
      <c r="F16" s="1">
        <f t="shared" si="1"/>
        <v>0</v>
      </c>
      <c r="H16" s="1" t="s">
        <v>25</v>
      </c>
      <c r="I16" s="1">
        <f>(F2+F3+F4+F5+F6+F7)/6</f>
        <v>101.375</v>
      </c>
    </row>
    <row r="17" spans="5:9">
      <c r="E17" s="1">
        <f t="shared" si="0"/>
        <v>0</v>
      </c>
      <c r="F17" s="1">
        <f t="shared" si="1"/>
        <v>0</v>
      </c>
      <c r="H17" s="1" t="s">
        <v>36</v>
      </c>
      <c r="I17" s="1">
        <f>(F8+F9)/2</f>
        <v>46</v>
      </c>
    </row>
    <row r="18" spans="5:9">
      <c r="E18" s="1">
        <f t="shared" si="0"/>
        <v>0</v>
      </c>
      <c r="F18" s="1" t="e">
        <f t="shared" si="1"/>
        <v>#DIV/0!</v>
      </c>
    </row>
    <row r="19" spans="5:9">
      <c r="E19" s="1">
        <f t="shared" si="0"/>
        <v>0</v>
      </c>
      <c r="F19" s="1" t="e">
        <f t="shared" si="1"/>
        <v>#DIV/0!</v>
      </c>
    </row>
    <row r="20" spans="5:9">
      <c r="E20" s="1">
        <f t="shared" si="0"/>
        <v>0</v>
      </c>
      <c r="F20" s="1" t="e">
        <f t="shared" si="1"/>
        <v>#DIV/0!</v>
      </c>
    </row>
    <row r="21" spans="5:9">
      <c r="E21" s="1">
        <f t="shared" si="0"/>
        <v>0</v>
      </c>
      <c r="F21" s="1" t="e">
        <f t="shared" si="1"/>
        <v>#DIV/0!</v>
      </c>
    </row>
    <row r="22" spans="5:9">
      <c r="E22" s="1">
        <f t="shared" si="0"/>
        <v>0</v>
      </c>
      <c r="F22" s="1" t="e">
        <f t="shared" si="1"/>
        <v>#DIV/0!</v>
      </c>
    </row>
    <row r="23" spans="5:9">
      <c r="E23" s="1">
        <f t="shared" si="0"/>
        <v>0</v>
      </c>
      <c r="F23" s="1" t="e">
        <f t="shared" si="1"/>
        <v>#DIV/0!</v>
      </c>
    </row>
    <row r="24" spans="5:9">
      <c r="E24" s="1">
        <f t="shared" si="0"/>
        <v>0</v>
      </c>
      <c r="F24" s="1" t="e">
        <f t="shared" si="1"/>
        <v>#DIV/0!</v>
      </c>
    </row>
    <row r="25" spans="5:9">
      <c r="E25" s="1">
        <f t="shared" si="0"/>
        <v>0</v>
      </c>
      <c r="F25" s="1" t="e">
        <f t="shared" si="1"/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F10" sqref="F10"/>
    </sheetView>
  </sheetViews>
  <sheetFormatPr defaultRowHeight="15"/>
  <cols>
    <col min="1" max="1" width="12.28515625" style="4" customWidth="1"/>
    <col min="2" max="2" width="13.28515625" style="4" customWidth="1"/>
    <col min="3" max="3" width="12.7109375" customWidth="1"/>
    <col min="4" max="4" width="13.28515625" customWidth="1"/>
    <col min="5" max="5" width="12.5703125" customWidth="1"/>
    <col min="6" max="6" width="12.85546875" customWidth="1"/>
    <col min="7" max="7" width="13.140625" style="2" customWidth="1"/>
    <col min="8" max="8" width="37.42578125" customWidth="1"/>
  </cols>
  <sheetData>
    <row r="1" spans="1:8">
      <c r="A1" s="3" t="s">
        <v>6</v>
      </c>
      <c r="B1" s="3" t="s">
        <v>0</v>
      </c>
      <c r="C1" s="3" t="s">
        <v>7</v>
      </c>
      <c r="D1" s="3" t="s">
        <v>8</v>
      </c>
      <c r="E1" s="3" t="s">
        <v>9</v>
      </c>
      <c r="F1" s="3" t="s">
        <v>10</v>
      </c>
      <c r="G1" s="6" t="s">
        <v>15</v>
      </c>
    </row>
    <row r="2" spans="1:8">
      <c r="A2" s="5">
        <v>40435</v>
      </c>
      <c r="B2" s="7" t="s">
        <v>2</v>
      </c>
      <c r="C2" s="8">
        <v>10</v>
      </c>
      <c r="D2" s="8">
        <v>108000</v>
      </c>
      <c r="E2" s="8">
        <f>D2/192000</f>
        <v>0.5625</v>
      </c>
      <c r="F2" s="8">
        <f>C2/E2</f>
        <v>17.777777777777779</v>
      </c>
      <c r="G2" s="7">
        <f>(F2+F3+F4)/3</f>
        <v>22.427350427350429</v>
      </c>
    </row>
    <row r="3" spans="1:8">
      <c r="A3" s="2"/>
      <c r="B3" s="7"/>
      <c r="C3" s="8">
        <v>7</v>
      </c>
      <c r="D3" s="8">
        <v>54000</v>
      </c>
      <c r="E3" s="8">
        <f t="shared" ref="E3:E16" si="0">D3/192000</f>
        <v>0.28125</v>
      </c>
      <c r="F3" s="8">
        <f t="shared" ref="F3:F16" si="1">C3/E3</f>
        <v>24.888888888888889</v>
      </c>
      <c r="G3" s="7"/>
    </row>
    <row r="4" spans="1:8">
      <c r="A4" s="2"/>
      <c r="B4" s="7"/>
      <c r="C4" s="8">
        <v>5</v>
      </c>
      <c r="D4" s="8">
        <v>39000</v>
      </c>
      <c r="E4" s="8">
        <f t="shared" si="0"/>
        <v>0.203125</v>
      </c>
      <c r="F4" s="8">
        <f t="shared" si="1"/>
        <v>24.615384615384617</v>
      </c>
      <c r="G4" s="7"/>
    </row>
    <row r="5" spans="1:8">
      <c r="A5" s="2"/>
      <c r="B5" s="2" t="s">
        <v>3</v>
      </c>
      <c r="C5" s="1">
        <v>24</v>
      </c>
      <c r="D5" s="1">
        <v>28000</v>
      </c>
      <c r="E5" s="1">
        <f t="shared" si="0"/>
        <v>0.14583333333333334</v>
      </c>
      <c r="F5" s="1">
        <f t="shared" si="1"/>
        <v>164.57142857142856</v>
      </c>
      <c r="G5" s="2">
        <f>(F6+F5+F7)/3</f>
        <v>120.80586080586079</v>
      </c>
    </row>
    <row r="6" spans="1:8">
      <c r="A6" s="2"/>
      <c r="B6" s="2"/>
      <c r="C6" s="1">
        <v>28</v>
      </c>
      <c r="D6" s="1">
        <v>39000</v>
      </c>
      <c r="E6" s="1">
        <f t="shared" si="0"/>
        <v>0.203125</v>
      </c>
      <c r="F6" s="1">
        <f t="shared" si="1"/>
        <v>137.84615384615384</v>
      </c>
    </row>
    <row r="7" spans="1:8">
      <c r="A7" s="2"/>
      <c r="B7" s="2"/>
      <c r="C7" s="1">
        <v>15</v>
      </c>
      <c r="D7" s="1">
        <v>48000</v>
      </c>
      <c r="E7" s="1">
        <f t="shared" si="0"/>
        <v>0.25</v>
      </c>
      <c r="F7" s="1">
        <f t="shared" si="1"/>
        <v>60</v>
      </c>
    </row>
    <row r="8" spans="1:8">
      <c r="A8" s="2"/>
      <c r="B8" s="9" t="s">
        <v>11</v>
      </c>
      <c r="C8" s="10">
        <v>5</v>
      </c>
      <c r="D8" s="10">
        <v>16000</v>
      </c>
      <c r="E8" s="10">
        <f t="shared" si="0"/>
        <v>8.3333333333333329E-2</v>
      </c>
      <c r="F8" s="10">
        <f t="shared" si="1"/>
        <v>60</v>
      </c>
      <c r="G8" s="9">
        <f>F8</f>
        <v>60</v>
      </c>
    </row>
    <row r="9" spans="1:8">
      <c r="A9" s="2"/>
      <c r="B9" s="2" t="s">
        <v>12</v>
      </c>
      <c r="C9" s="1">
        <v>4</v>
      </c>
      <c r="D9" s="1">
        <v>38000</v>
      </c>
      <c r="E9" s="1">
        <f t="shared" si="0"/>
        <v>0.19791666666666666</v>
      </c>
      <c r="F9" s="1">
        <f t="shared" si="1"/>
        <v>20.210526315789476</v>
      </c>
      <c r="G9" s="2">
        <f>F9</f>
        <v>20.210526315789476</v>
      </c>
    </row>
    <row r="10" spans="1:8">
      <c r="A10" s="2"/>
      <c r="B10" s="9" t="s">
        <v>13</v>
      </c>
      <c r="C10" s="10">
        <v>3</v>
      </c>
      <c r="D10" s="10">
        <v>12000</v>
      </c>
      <c r="E10" s="10">
        <f t="shared" si="0"/>
        <v>6.25E-2</v>
      </c>
      <c r="F10" s="10">
        <f t="shared" si="1"/>
        <v>48</v>
      </c>
      <c r="G10" s="9">
        <f>(F10+F11)/2</f>
        <v>86.4</v>
      </c>
    </row>
    <row r="11" spans="1:8">
      <c r="A11" s="2"/>
      <c r="B11" s="9"/>
      <c r="C11" s="10">
        <v>26</v>
      </c>
      <c r="D11" s="10">
        <v>40000</v>
      </c>
      <c r="E11" s="10">
        <f t="shared" si="0"/>
        <v>0.20833333333333334</v>
      </c>
      <c r="F11" s="10">
        <f t="shared" si="1"/>
        <v>124.8</v>
      </c>
      <c r="G11" s="9"/>
    </row>
    <row r="12" spans="1:8">
      <c r="A12" s="2"/>
      <c r="B12" s="2" t="s">
        <v>14</v>
      </c>
      <c r="C12" s="1">
        <v>3</v>
      </c>
      <c r="D12" s="1">
        <v>23000</v>
      </c>
      <c r="E12" s="1">
        <f t="shared" si="0"/>
        <v>0.11979166666666667</v>
      </c>
      <c r="F12" s="1">
        <f t="shared" si="1"/>
        <v>25.043478260869563</v>
      </c>
      <c r="G12" s="2">
        <f>(F13+F12)/2</f>
        <v>24.521739130434781</v>
      </c>
    </row>
    <row r="13" spans="1:8">
      <c r="A13" s="2"/>
      <c r="B13" s="2"/>
      <c r="C13" s="1">
        <v>3</v>
      </c>
      <c r="D13" s="1">
        <v>24000</v>
      </c>
      <c r="E13" s="1">
        <f t="shared" si="0"/>
        <v>0.125</v>
      </c>
      <c r="F13" s="1">
        <f t="shared" si="1"/>
        <v>24</v>
      </c>
    </row>
    <row r="14" spans="1:8">
      <c r="A14" s="2"/>
      <c r="B14" s="9" t="s">
        <v>16</v>
      </c>
      <c r="C14" s="10">
        <v>15</v>
      </c>
      <c r="D14" s="10">
        <v>130000</v>
      </c>
      <c r="E14" s="10">
        <f t="shared" si="0"/>
        <v>0.67708333333333337</v>
      </c>
      <c r="F14" s="10">
        <f t="shared" si="1"/>
        <v>22.153846153846153</v>
      </c>
      <c r="G14" s="9">
        <f>F14</f>
        <v>22.153846153846153</v>
      </c>
    </row>
    <row r="15" spans="1:8">
      <c r="A15" s="2"/>
      <c r="B15" s="2" t="s">
        <v>17</v>
      </c>
      <c r="C15" s="1">
        <v>7</v>
      </c>
      <c r="D15" s="1">
        <v>44000</v>
      </c>
      <c r="E15" s="1">
        <f t="shared" si="0"/>
        <v>0.22916666666666666</v>
      </c>
      <c r="F15" s="1">
        <f t="shared" si="1"/>
        <v>30.545454545454547</v>
      </c>
    </row>
    <row r="16" spans="1:8">
      <c r="A16" s="2"/>
      <c r="B16" s="2"/>
      <c r="C16" s="1">
        <v>17</v>
      </c>
      <c r="D16" s="1">
        <v>178000</v>
      </c>
      <c r="E16" s="1">
        <f t="shared" si="0"/>
        <v>0.92708333333333337</v>
      </c>
      <c r="F16" s="1">
        <f t="shared" si="1"/>
        <v>18.337078651685392</v>
      </c>
      <c r="H16" t="s">
        <v>18</v>
      </c>
    </row>
    <row r="17" spans="1:7" ht="15.75" thickBot="1">
      <c r="A17" s="2"/>
      <c r="B17" s="2"/>
      <c r="C17" s="1"/>
      <c r="D17" s="1"/>
      <c r="E17" s="1"/>
      <c r="F17" s="1"/>
    </row>
    <row r="18" spans="1:7" s="2" customFormat="1" ht="15.75" thickBot="1">
      <c r="A18" s="11">
        <v>40437</v>
      </c>
      <c r="B18" s="12" t="s">
        <v>0</v>
      </c>
      <c r="C18" s="12" t="s">
        <v>19</v>
      </c>
      <c r="D18" s="12" t="s">
        <v>8</v>
      </c>
      <c r="E18" s="12" t="s">
        <v>9</v>
      </c>
      <c r="F18" s="12" t="s">
        <v>10</v>
      </c>
      <c r="G18" s="12" t="s">
        <v>15</v>
      </c>
    </row>
    <row r="19" spans="1:7">
      <c r="A19" s="2"/>
      <c r="B19" s="13" t="s">
        <v>20</v>
      </c>
      <c r="C19" s="14">
        <v>90</v>
      </c>
      <c r="D19" s="14">
        <v>84000</v>
      </c>
      <c r="E19" s="14">
        <f>D19/192000</f>
        <v>0.4375</v>
      </c>
      <c r="F19" s="14">
        <f>C19/E19</f>
        <v>205.71428571428572</v>
      </c>
      <c r="G19" s="13">
        <f>(F19+F20+F21+F22+F23)/5</f>
        <v>67.500653926983034</v>
      </c>
    </row>
    <row r="20" spans="1:7">
      <c r="A20" s="2"/>
      <c r="B20" s="13"/>
      <c r="C20" s="14">
        <v>10</v>
      </c>
      <c r="D20" s="14">
        <v>74000</v>
      </c>
      <c r="E20" s="14">
        <f t="shared" ref="E20:E35" si="2">D20/192000</f>
        <v>0.38541666666666669</v>
      </c>
      <c r="F20" s="14">
        <f t="shared" ref="F20:F35" si="3">C20/E20</f>
        <v>25.945945945945944</v>
      </c>
      <c r="G20" s="13"/>
    </row>
    <row r="21" spans="1:7">
      <c r="A21" s="2"/>
      <c r="B21" s="13"/>
      <c r="C21" s="14">
        <v>8</v>
      </c>
      <c r="D21" s="14">
        <v>79000</v>
      </c>
      <c r="E21" s="14">
        <f t="shared" si="2"/>
        <v>0.41145833333333331</v>
      </c>
      <c r="F21" s="14">
        <f t="shared" si="3"/>
        <v>19.443037974683545</v>
      </c>
      <c r="G21" s="13"/>
    </row>
    <row r="22" spans="1:7">
      <c r="A22" s="2"/>
      <c r="B22" s="13"/>
      <c r="C22" s="14">
        <v>14</v>
      </c>
      <c r="D22" s="14">
        <v>70000</v>
      </c>
      <c r="E22" s="14">
        <f t="shared" si="2"/>
        <v>0.36458333333333331</v>
      </c>
      <c r="F22" s="14">
        <f t="shared" si="3"/>
        <v>38.4</v>
      </c>
      <c r="G22" s="13"/>
    </row>
    <row r="23" spans="1:7">
      <c r="A23" s="2"/>
      <c r="B23" s="13"/>
      <c r="C23" s="14">
        <v>20</v>
      </c>
      <c r="D23" s="14">
        <v>80000</v>
      </c>
      <c r="E23" s="14">
        <f t="shared" si="2"/>
        <v>0.41666666666666669</v>
      </c>
      <c r="F23" s="14">
        <f t="shared" si="3"/>
        <v>48</v>
      </c>
      <c r="G23" s="13"/>
    </row>
    <row r="24" spans="1:7">
      <c r="A24" s="2"/>
      <c r="B24" s="2"/>
      <c r="C24" s="1"/>
      <c r="D24" s="1"/>
      <c r="E24" s="1">
        <f t="shared" si="2"/>
        <v>0</v>
      </c>
      <c r="F24" s="1" t="e">
        <f t="shared" si="3"/>
        <v>#DIV/0!</v>
      </c>
    </row>
    <row r="25" spans="1:7">
      <c r="A25" s="2"/>
      <c r="B25" s="2"/>
      <c r="C25" s="1"/>
      <c r="D25" s="1"/>
      <c r="E25" s="1">
        <f t="shared" si="2"/>
        <v>0</v>
      </c>
      <c r="F25" s="1" t="e">
        <f t="shared" si="3"/>
        <v>#DIV/0!</v>
      </c>
    </row>
    <row r="26" spans="1:7">
      <c r="E26" s="1">
        <f t="shared" si="2"/>
        <v>0</v>
      </c>
      <c r="F26" s="1" t="e">
        <f t="shared" si="3"/>
        <v>#DIV/0!</v>
      </c>
    </row>
    <row r="27" spans="1:7">
      <c r="E27" s="1">
        <f t="shared" si="2"/>
        <v>0</v>
      </c>
      <c r="F27" s="1" t="e">
        <f t="shared" si="3"/>
        <v>#DIV/0!</v>
      </c>
    </row>
    <row r="28" spans="1:7">
      <c r="E28" s="1">
        <f t="shared" si="2"/>
        <v>0</v>
      </c>
      <c r="F28" s="1" t="e">
        <f t="shared" si="3"/>
        <v>#DIV/0!</v>
      </c>
    </row>
    <row r="29" spans="1:7">
      <c r="E29" s="1">
        <f t="shared" si="2"/>
        <v>0</v>
      </c>
      <c r="F29" s="1" t="e">
        <f t="shared" si="3"/>
        <v>#DIV/0!</v>
      </c>
    </row>
    <row r="30" spans="1:7">
      <c r="E30" s="1">
        <f t="shared" si="2"/>
        <v>0</v>
      </c>
      <c r="F30" s="1" t="e">
        <f t="shared" si="3"/>
        <v>#DIV/0!</v>
      </c>
    </row>
    <row r="31" spans="1:7">
      <c r="E31" s="1">
        <f t="shared" si="2"/>
        <v>0</v>
      </c>
      <c r="F31" s="1" t="e">
        <f t="shared" si="3"/>
        <v>#DIV/0!</v>
      </c>
    </row>
    <row r="32" spans="1:7">
      <c r="E32" s="1">
        <f t="shared" si="2"/>
        <v>0</v>
      </c>
      <c r="F32" s="1" t="e">
        <f t="shared" si="3"/>
        <v>#DIV/0!</v>
      </c>
    </row>
    <row r="33" spans="5:6">
      <c r="E33" s="1">
        <f t="shared" si="2"/>
        <v>0</v>
      </c>
      <c r="F33" s="1" t="e">
        <f t="shared" si="3"/>
        <v>#DIV/0!</v>
      </c>
    </row>
    <row r="34" spans="5:6">
      <c r="E34" s="1">
        <f t="shared" si="2"/>
        <v>0</v>
      </c>
      <c r="F34" s="1" t="e">
        <f t="shared" si="3"/>
        <v>#DIV/0!</v>
      </c>
    </row>
    <row r="35" spans="5:6">
      <c r="E35" s="1">
        <f t="shared" si="2"/>
        <v>0</v>
      </c>
      <c r="F35" s="1" t="e">
        <f t="shared" si="3"/>
        <v>#DIV/0!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fhlguest</cp:lastModifiedBy>
  <dcterms:created xsi:type="dcterms:W3CDTF">2010-09-16T05:51:05Z</dcterms:created>
  <dcterms:modified xsi:type="dcterms:W3CDTF">2010-10-29T08:36:12Z</dcterms:modified>
</cp:coreProperties>
</file>