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1475" windowHeight="8220"/>
  </bookViews>
  <sheets>
    <sheet name="Sheet4" sheetId="4" r:id="rId1"/>
    <sheet name="Sheet3" sheetId="3" r:id="rId2"/>
    <sheet name="Sheet1" sheetId="1" r:id="rId3"/>
    <sheet name="Sheet2" sheetId="2" r:id="rId4"/>
  </sheets>
  <calcPr calcId="125725"/>
  <fileRecoveryPr repairLoad="1"/>
</workbook>
</file>

<file path=xl/calcChain.xml><?xml version="1.0" encoding="utf-8"?>
<calcChain xmlns="http://schemas.openxmlformats.org/spreadsheetml/2006/main">
  <c r="J2" i="4"/>
  <c r="J35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4"/>
  <c r="H17"/>
  <c r="H16"/>
  <c r="H15"/>
  <c r="H13"/>
  <c r="H12"/>
  <c r="H11"/>
  <c r="H10"/>
  <c r="H9"/>
  <c r="H8"/>
  <c r="H7"/>
  <c r="H6"/>
  <c r="H5"/>
  <c r="H4"/>
  <c r="H3"/>
  <c r="H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2"/>
  <c r="I17" i="1"/>
  <c r="I16"/>
  <c r="J9"/>
  <c r="J8"/>
  <c r="J7"/>
  <c r="J5"/>
  <c r="J6"/>
  <c r="J3"/>
  <c r="J4"/>
  <c r="J2"/>
  <c r="F3"/>
  <c r="F10"/>
  <c r="F11"/>
  <c r="F12"/>
  <c r="F13"/>
  <c r="F14"/>
  <c r="F15"/>
  <c r="F16"/>
  <c r="F17"/>
  <c r="F18"/>
  <c r="F19"/>
  <c r="F20"/>
  <c r="F21"/>
  <c r="F22"/>
  <c r="F23"/>
  <c r="F24"/>
  <c r="F25"/>
  <c r="E3"/>
  <c r="E4"/>
  <c r="F4" s="1"/>
  <c r="E5"/>
  <c r="F5" s="1"/>
  <c r="E6"/>
  <c r="F6" s="1"/>
  <c r="E7"/>
  <c r="F7" s="1"/>
  <c r="E8"/>
  <c r="F8" s="1"/>
  <c r="E9"/>
  <c r="F9" s="1"/>
  <c r="E10"/>
  <c r="E11"/>
  <c r="E12"/>
  <c r="E13"/>
  <c r="E14"/>
  <c r="E15"/>
  <c r="E16"/>
  <c r="E17"/>
  <c r="E18"/>
  <c r="E19"/>
  <c r="E20"/>
  <c r="E21"/>
  <c r="E22"/>
  <c r="E23"/>
  <c r="E24"/>
  <c r="E25"/>
  <c r="C2"/>
  <c r="F2"/>
  <c r="E2"/>
  <c r="D2"/>
  <c r="G19" i="2"/>
  <c r="E20"/>
  <c r="E21"/>
  <c r="E22"/>
  <c r="E23"/>
  <c r="E24"/>
  <c r="E25"/>
  <c r="E26"/>
  <c r="E27"/>
  <c r="E28"/>
  <c r="E29"/>
  <c r="E30"/>
  <c r="E31"/>
  <c r="E32"/>
  <c r="E33"/>
  <c r="E34"/>
  <c r="E35"/>
  <c r="F20"/>
  <c r="F21"/>
  <c r="F22"/>
  <c r="F23"/>
  <c r="F24"/>
  <c r="F25"/>
  <c r="F26"/>
  <c r="F27"/>
  <c r="F28"/>
  <c r="F29"/>
  <c r="F30"/>
  <c r="F31"/>
  <c r="F32"/>
  <c r="F33"/>
  <c r="F34"/>
  <c r="F35"/>
  <c r="E19"/>
  <c r="F19" s="1"/>
  <c r="G14"/>
  <c r="G12"/>
  <c r="G10"/>
  <c r="G9"/>
  <c r="G8"/>
  <c r="G5"/>
  <c r="G2"/>
  <c r="E3"/>
  <c r="F3" s="1"/>
  <c r="E4"/>
  <c r="E5"/>
  <c r="E6"/>
  <c r="E7"/>
  <c r="E8"/>
  <c r="E9"/>
  <c r="E10"/>
  <c r="E11"/>
  <c r="E12"/>
  <c r="E13"/>
  <c r="E14"/>
  <c r="E15"/>
  <c r="E16"/>
  <c r="F4"/>
  <c r="F5"/>
  <c r="F6"/>
  <c r="F7"/>
  <c r="F8"/>
  <c r="F9"/>
  <c r="F10"/>
  <c r="F11"/>
  <c r="F12"/>
  <c r="F13"/>
  <c r="F14"/>
  <c r="F15"/>
  <c r="F16"/>
  <c r="E2"/>
  <c r="F2" s="1"/>
</calcChain>
</file>

<file path=xl/sharedStrings.xml><?xml version="1.0" encoding="utf-8"?>
<sst xmlns="http://schemas.openxmlformats.org/spreadsheetml/2006/main" count="161" uniqueCount="88">
  <si>
    <t>File</t>
  </si>
  <si>
    <t>Behavior State</t>
  </si>
  <si>
    <t>CRT_A10_01</t>
  </si>
  <si>
    <t>CRT_A10_03</t>
  </si>
  <si>
    <t>Pod Size</t>
  </si>
  <si>
    <t>Orientation</t>
  </si>
  <si>
    <t>Date</t>
  </si>
  <si>
    <t>Click train</t>
  </si>
  <si>
    <t>Sample</t>
  </si>
  <si>
    <t>Seconds</t>
  </si>
  <si>
    <t>Click nrate</t>
  </si>
  <si>
    <t>CRT_A10_07</t>
  </si>
  <si>
    <t>CRT_A10_08</t>
  </si>
  <si>
    <t>CRT_A10_09</t>
  </si>
  <si>
    <t>CRT_A10_10</t>
  </si>
  <si>
    <t>Average</t>
  </si>
  <si>
    <t>CRT_A11_01</t>
  </si>
  <si>
    <t>CRT_A11_02</t>
  </si>
  <si>
    <t>**50.484 to 51.412. different spacing--different whales?</t>
  </si>
  <si>
    <t>Click Train</t>
  </si>
  <si>
    <t>CRT_A20_01</t>
  </si>
  <si>
    <t>Click train rate</t>
  </si>
  <si>
    <t>Single click rate</t>
  </si>
  <si>
    <t>Combined click rate</t>
  </si>
  <si>
    <t>CRT_A20_31</t>
  </si>
  <si>
    <t>Travelling</t>
  </si>
  <si>
    <t>9,10</t>
  </si>
  <si>
    <t>Ambient Noise (dB)</t>
  </si>
  <si>
    <t>Controlled click rate</t>
  </si>
  <si>
    <t>CRT_A20_32</t>
  </si>
  <si>
    <t>CRT_A20_33</t>
  </si>
  <si>
    <t>CRT_A20_34</t>
  </si>
  <si>
    <t>CRT_A20_35</t>
  </si>
  <si>
    <t>CRT_A20_36</t>
  </si>
  <si>
    <t>5,6,7</t>
  </si>
  <si>
    <t>CRT_A20_56</t>
  </si>
  <si>
    <t>Foraging</t>
  </si>
  <si>
    <t>10,5</t>
  </si>
  <si>
    <t>CRT_A20_57</t>
  </si>
  <si>
    <t>CRT_</t>
  </si>
  <si>
    <t>Behavior</t>
  </si>
  <si>
    <t>Hana's count</t>
  </si>
  <si>
    <t>CRT_A20_58</t>
  </si>
  <si>
    <t>CRT_A31_42</t>
  </si>
  <si>
    <t>CRT_A18_00</t>
  </si>
  <si>
    <t>CRT_A32_29</t>
  </si>
  <si>
    <t>CRT_A31_03</t>
  </si>
  <si>
    <t>CRT_A34_05</t>
  </si>
  <si>
    <t>lots of electrical noise, sonar? Excluded due to signal to noise ratio</t>
  </si>
  <si>
    <t>CRT_A31_02</t>
  </si>
  <si>
    <t>Counted rate</t>
  </si>
  <si>
    <t>Controlled rate</t>
  </si>
  <si>
    <t>Threshold (mV)</t>
  </si>
  <si>
    <t xml:space="preserve">Behavior </t>
  </si>
  <si>
    <t>Ambient noise (dB)</t>
  </si>
  <si>
    <t>Val's count @ 47</t>
  </si>
  <si>
    <t>V count @ 90</t>
  </si>
  <si>
    <t xml:space="preserve"> Threshold (mV)</t>
  </si>
  <si>
    <t xml:space="preserve"> CRT_A20_32</t>
  </si>
  <si>
    <t>CRT_A20_37</t>
  </si>
  <si>
    <t>CRT_A20_38</t>
  </si>
  <si>
    <t>CRT_A20_39</t>
  </si>
  <si>
    <t>CRT_A20_40</t>
  </si>
  <si>
    <t>CRT_A20_41</t>
  </si>
  <si>
    <t>CRT_A20_42</t>
  </si>
  <si>
    <t>CRT_A20_43</t>
  </si>
  <si>
    <t>CRT_A20_44</t>
  </si>
  <si>
    <t>CRT_A20_45</t>
  </si>
  <si>
    <t>CRT_A20_46</t>
  </si>
  <si>
    <t>CRT_A20_47</t>
  </si>
  <si>
    <t>CRT_A20_48</t>
  </si>
  <si>
    <t>CRT_A20_49</t>
  </si>
  <si>
    <t>CRT_A20_50</t>
  </si>
  <si>
    <t>CRT_A20_51</t>
  </si>
  <si>
    <t>CRT_A20_52</t>
  </si>
  <si>
    <t>CRT_A20_53</t>
  </si>
  <si>
    <t>CRT_A20_54</t>
  </si>
  <si>
    <t>CRT_A20_55</t>
  </si>
  <si>
    <t>CRT_A20_59</t>
  </si>
  <si>
    <t>CRT_A20_60</t>
  </si>
  <si>
    <t># Click Trains</t>
  </si>
  <si>
    <t>CRT_A20_66</t>
  </si>
  <si>
    <t>CRT_A20_67</t>
  </si>
  <si>
    <t>CRT_A20_68</t>
  </si>
  <si>
    <t>Traveling</t>
  </si>
  <si>
    <t>CRT_A31_00</t>
  </si>
  <si>
    <t>SNR</t>
  </si>
  <si>
    <t>none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</si>
</sst>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C6A23"/>
      <color rgb="FF6F9D8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Click Rate comparison</a:t>
            </a:r>
          </a:p>
        </c:rich>
      </c:tx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6.3507242892348423E-2"/>
                  <c:y val="-1.8937578454867078E-2"/>
                </c:manualLayout>
              </c:layout>
              <c:numFmt formatCode="General" sourceLinked="0"/>
            </c:trendlineLbl>
          </c:trendline>
          <c:xVal>
            <c:numRef>
              <c:f>Sheet3!$C$2:$C$15</c:f>
              <c:numCache>
                <c:formatCode>General</c:formatCode>
                <c:ptCount val="14"/>
                <c:pt idx="0">
                  <c:v>463</c:v>
                </c:pt>
                <c:pt idx="1">
                  <c:v>417</c:v>
                </c:pt>
                <c:pt idx="2">
                  <c:v>383</c:v>
                </c:pt>
                <c:pt idx="3">
                  <c:v>530</c:v>
                </c:pt>
                <c:pt idx="4">
                  <c:v>402</c:v>
                </c:pt>
                <c:pt idx="5">
                  <c:v>357</c:v>
                </c:pt>
                <c:pt idx="6">
                  <c:v>284</c:v>
                </c:pt>
                <c:pt idx="7">
                  <c:v>385</c:v>
                </c:pt>
                <c:pt idx="8">
                  <c:v>909</c:v>
                </c:pt>
                <c:pt idx="9">
                  <c:v>0</c:v>
                </c:pt>
                <c:pt idx="10">
                  <c:v>161</c:v>
                </c:pt>
                <c:pt idx="11">
                  <c:v>102</c:v>
                </c:pt>
                <c:pt idx="12">
                  <c:v>26</c:v>
                </c:pt>
                <c:pt idx="13">
                  <c:v>529</c:v>
                </c:pt>
              </c:numCache>
            </c:numRef>
          </c:xVal>
          <c:yVal>
            <c:numRef>
              <c:f>Sheet3!$D$2:$D$15</c:f>
              <c:numCache>
                <c:formatCode>General</c:formatCode>
                <c:ptCount val="14"/>
                <c:pt idx="0">
                  <c:v>516</c:v>
                </c:pt>
                <c:pt idx="1">
                  <c:v>329</c:v>
                </c:pt>
                <c:pt idx="2">
                  <c:v>425</c:v>
                </c:pt>
                <c:pt idx="3">
                  <c:v>569</c:v>
                </c:pt>
                <c:pt idx="4">
                  <c:v>400</c:v>
                </c:pt>
                <c:pt idx="5">
                  <c:v>337</c:v>
                </c:pt>
                <c:pt idx="6">
                  <c:v>118</c:v>
                </c:pt>
                <c:pt idx="7">
                  <c:v>512</c:v>
                </c:pt>
                <c:pt idx="8">
                  <c:v>1252</c:v>
                </c:pt>
                <c:pt idx="9">
                  <c:v>0</c:v>
                </c:pt>
                <c:pt idx="10">
                  <c:v>417</c:v>
                </c:pt>
                <c:pt idx="11">
                  <c:v>315</c:v>
                </c:pt>
                <c:pt idx="12">
                  <c:v>19</c:v>
                </c:pt>
                <c:pt idx="13">
                  <c:v>894</c:v>
                </c:pt>
              </c:numCache>
            </c:numRef>
          </c:yVal>
        </c:ser>
        <c:axId val="45858176"/>
        <c:axId val="50100096"/>
      </c:scatterChart>
      <c:valAx>
        <c:axId val="458581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Hana's</a:t>
                </a:r>
                <a:r>
                  <a:rPr lang="en-US" baseline="0"/>
                  <a:t> count</a:t>
                </a:r>
                <a:endParaRPr lang="en-US"/>
              </a:p>
            </c:rich>
          </c:tx>
        </c:title>
        <c:numFmt formatCode="General" sourceLinked="1"/>
        <c:majorTickMark val="none"/>
        <c:tickLblPos val="nextTo"/>
        <c:crossAx val="50100096"/>
        <c:crosses val="autoZero"/>
        <c:crossBetween val="midCat"/>
      </c:valAx>
      <c:valAx>
        <c:axId val="5010009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Val's</a:t>
                </a:r>
                <a:r>
                  <a:rPr lang="en-US" baseline="0"/>
                  <a:t> count</a:t>
                </a:r>
                <a:endParaRPr lang="en-US"/>
              </a:p>
            </c:rich>
          </c:tx>
        </c:title>
        <c:numFmt formatCode="General" sourceLinked="1"/>
        <c:majorTickMark val="none"/>
        <c:tickLblPos val="nextTo"/>
        <c:crossAx val="45858176"/>
        <c:crosses val="autoZero"/>
        <c:crossBetween val="midCat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scatterChart>
        <c:scatterStyle val="lineMarker"/>
        <c:ser>
          <c:idx val="0"/>
          <c:order val="0"/>
          <c:tx>
            <c:v>Click comparison @ 90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2508792650918635"/>
                  <c:y val="3.686205890930301E-3"/>
                </c:manualLayout>
              </c:layout>
              <c:numFmt formatCode="General" sourceLinked="0"/>
            </c:trendlineLbl>
          </c:trendline>
          <c:xVal>
            <c:numRef>
              <c:f>Sheet3!$C$2:$C$15</c:f>
              <c:numCache>
                <c:formatCode>General</c:formatCode>
                <c:ptCount val="14"/>
                <c:pt idx="0">
                  <c:v>463</c:v>
                </c:pt>
                <c:pt idx="1">
                  <c:v>417</c:v>
                </c:pt>
                <c:pt idx="2">
                  <c:v>383</c:v>
                </c:pt>
                <c:pt idx="3">
                  <c:v>530</c:v>
                </c:pt>
                <c:pt idx="4">
                  <c:v>402</c:v>
                </c:pt>
                <c:pt idx="5">
                  <c:v>357</c:v>
                </c:pt>
                <c:pt idx="6">
                  <c:v>284</c:v>
                </c:pt>
                <c:pt idx="7">
                  <c:v>385</c:v>
                </c:pt>
                <c:pt idx="8">
                  <c:v>909</c:v>
                </c:pt>
                <c:pt idx="9">
                  <c:v>0</c:v>
                </c:pt>
                <c:pt idx="10">
                  <c:v>161</c:v>
                </c:pt>
                <c:pt idx="11">
                  <c:v>102</c:v>
                </c:pt>
                <c:pt idx="12">
                  <c:v>26</c:v>
                </c:pt>
                <c:pt idx="13">
                  <c:v>529</c:v>
                </c:pt>
              </c:numCache>
            </c:numRef>
          </c:xVal>
          <c:yVal>
            <c:numRef>
              <c:f>Sheet3!$F$2:$F$15</c:f>
              <c:numCache>
                <c:formatCode>General</c:formatCode>
                <c:ptCount val="14"/>
                <c:pt idx="0">
                  <c:v>458</c:v>
                </c:pt>
                <c:pt idx="1">
                  <c:v>291</c:v>
                </c:pt>
                <c:pt idx="2">
                  <c:v>371</c:v>
                </c:pt>
                <c:pt idx="3">
                  <c:v>530</c:v>
                </c:pt>
                <c:pt idx="4">
                  <c:v>328</c:v>
                </c:pt>
                <c:pt idx="5">
                  <c:v>316</c:v>
                </c:pt>
                <c:pt idx="6">
                  <c:v>102</c:v>
                </c:pt>
                <c:pt idx="7">
                  <c:v>463</c:v>
                </c:pt>
                <c:pt idx="8">
                  <c:v>1099</c:v>
                </c:pt>
                <c:pt idx="9">
                  <c:v>0</c:v>
                </c:pt>
                <c:pt idx="10">
                  <c:v>406</c:v>
                </c:pt>
                <c:pt idx="11">
                  <c:v>301</c:v>
                </c:pt>
                <c:pt idx="12">
                  <c:v>18</c:v>
                </c:pt>
                <c:pt idx="13">
                  <c:v>748</c:v>
                </c:pt>
              </c:numCache>
            </c:numRef>
          </c:yVal>
        </c:ser>
        <c:axId val="45809664"/>
        <c:axId val="45811200"/>
      </c:scatterChart>
      <c:valAx>
        <c:axId val="45809664"/>
        <c:scaling>
          <c:orientation val="minMax"/>
        </c:scaling>
        <c:axPos val="b"/>
        <c:numFmt formatCode="General" sourceLinked="1"/>
        <c:tickLblPos val="nextTo"/>
        <c:crossAx val="45811200"/>
        <c:crosses val="autoZero"/>
        <c:crossBetween val="midCat"/>
      </c:valAx>
      <c:valAx>
        <c:axId val="45811200"/>
        <c:scaling>
          <c:orientation val="minMax"/>
        </c:scaling>
        <c:axPos val="l"/>
        <c:numFmt formatCode="General" sourceLinked="1"/>
        <c:tickLblPos val="nextTo"/>
        <c:crossAx val="45809664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Click Rate vs. Behavior States</a:t>
            </a:r>
            <a:r>
              <a:rPr lang="en-US" baseline="0"/>
              <a:t> 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Pt>
            <c:idx val="1"/>
            <c:spPr>
              <a:solidFill>
                <a:srgbClr val="1C6A23"/>
              </a:solidFill>
            </c:spPr>
          </c:dPt>
          <c:dLbls>
            <c:showVal val="1"/>
          </c:dLbls>
          <c:cat>
            <c:strRef>
              <c:f>Sheet1!$H$16:$H$17</c:f>
              <c:strCache>
                <c:ptCount val="2"/>
                <c:pt idx="0">
                  <c:v>Travelling</c:v>
                </c:pt>
                <c:pt idx="1">
                  <c:v>Foraging</c:v>
                </c:pt>
              </c:strCache>
            </c:strRef>
          </c:cat>
          <c:val>
            <c:numRef>
              <c:f>Sheet1!$I$16:$I$17</c:f>
              <c:numCache>
                <c:formatCode>General</c:formatCode>
                <c:ptCount val="2"/>
                <c:pt idx="0">
                  <c:v>101.375</c:v>
                </c:pt>
                <c:pt idx="1">
                  <c:v>46</c:v>
                </c:pt>
              </c:numCache>
            </c:numRef>
          </c:val>
        </c:ser>
        <c:axId val="45819776"/>
        <c:axId val="45875200"/>
      </c:barChart>
      <c:catAx>
        <c:axId val="458197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Behavior States</a:t>
                </a:r>
              </a:p>
            </c:rich>
          </c:tx>
          <c:layout/>
        </c:title>
        <c:majorTickMark val="none"/>
        <c:tickLblPos val="nextTo"/>
        <c:crossAx val="45875200"/>
        <c:crosses val="autoZero"/>
        <c:auto val="1"/>
        <c:lblAlgn val="ctr"/>
        <c:lblOffset val="100"/>
      </c:catAx>
      <c:valAx>
        <c:axId val="4587520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click rate/min.</a:t>
                </a:r>
              </a:p>
            </c:rich>
          </c:tx>
          <c:layout/>
        </c:title>
        <c:numFmt formatCode="General" sourceLinked="1"/>
        <c:tickLblPos val="nextTo"/>
        <c:crossAx val="45819776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Ambient Noise (dB) vs. Click</a:t>
            </a:r>
            <a:r>
              <a:rPr lang="en-US" baseline="0"/>
              <a:t> Rate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Ambient noise (dB)</c:v>
          </c:tx>
          <c:spPr>
            <a:ln w="28575">
              <a:noFill/>
            </a:ln>
          </c:spPr>
          <c:xVal>
            <c:numRef>
              <c:f>Sheet1!$J$2:$J$9</c:f>
              <c:numCache>
                <c:formatCode>General</c:formatCode>
                <c:ptCount val="8"/>
                <c:pt idx="0">
                  <c:v>97.5</c:v>
                </c:pt>
                <c:pt idx="1">
                  <c:v>99.4</c:v>
                </c:pt>
                <c:pt idx="2">
                  <c:v>97.1</c:v>
                </c:pt>
                <c:pt idx="3">
                  <c:v>96.9</c:v>
                </c:pt>
                <c:pt idx="4">
                  <c:v>96.8</c:v>
                </c:pt>
                <c:pt idx="5">
                  <c:v>93.5</c:v>
                </c:pt>
                <c:pt idx="6">
                  <c:v>96.5</c:v>
                </c:pt>
                <c:pt idx="7">
                  <c:v>99.2</c:v>
                </c:pt>
              </c:numCache>
            </c:numRef>
          </c:xVal>
          <c:yVal>
            <c:numRef>
              <c:f>Sheet1!$F$2:$F$9</c:f>
              <c:numCache>
                <c:formatCode>General</c:formatCode>
                <c:ptCount val="8"/>
                <c:pt idx="0">
                  <c:v>115.75</c:v>
                </c:pt>
                <c:pt idx="1">
                  <c:v>104.25</c:v>
                </c:pt>
                <c:pt idx="2">
                  <c:v>95.75</c:v>
                </c:pt>
                <c:pt idx="3">
                  <c:v>132.5</c:v>
                </c:pt>
                <c:pt idx="4">
                  <c:v>100.5</c:v>
                </c:pt>
                <c:pt idx="5">
                  <c:v>59.5</c:v>
                </c:pt>
                <c:pt idx="6">
                  <c:v>40.571428571428569</c:v>
                </c:pt>
                <c:pt idx="7">
                  <c:v>51.428571428571431</c:v>
                </c:pt>
              </c:numCache>
            </c:numRef>
          </c:yVal>
        </c:ser>
        <c:axId val="45886848"/>
        <c:axId val="45921792"/>
      </c:scatterChart>
      <c:valAx>
        <c:axId val="458868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Ambient</a:t>
                </a:r>
                <a:r>
                  <a:rPr lang="en-US" baseline="0"/>
                  <a:t> Noise Level (dB)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45921792"/>
        <c:crosses val="autoZero"/>
        <c:crossBetween val="midCat"/>
      </c:valAx>
      <c:valAx>
        <c:axId val="459217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Click Rate/min.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45886848"/>
        <c:crosses val="autoZero"/>
        <c:crossBetween val="midCat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2</xdr:row>
      <xdr:rowOff>38100</xdr:rowOff>
    </xdr:from>
    <xdr:to>
      <xdr:col>15</xdr:col>
      <xdr:colOff>19050</xdr:colOff>
      <xdr:row>21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123825</xdr:colOff>
      <xdr:row>24</xdr:row>
      <xdr:rowOff>0</xdr:rowOff>
    </xdr:from>
    <xdr:to>
      <xdr:col>14</xdr:col>
      <xdr:colOff>428625</xdr:colOff>
      <xdr:row>38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10</xdr:row>
      <xdr:rowOff>180975</xdr:rowOff>
    </xdr:from>
    <xdr:to>
      <xdr:col>5</xdr:col>
      <xdr:colOff>942975</xdr:colOff>
      <xdr:row>25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1143000</xdr:colOff>
      <xdr:row>18</xdr:row>
      <xdr:rowOff>95250</xdr:rowOff>
    </xdr:from>
    <xdr:to>
      <xdr:col>9</xdr:col>
      <xdr:colOff>1171575</xdr:colOff>
      <xdr:row>32</xdr:row>
      <xdr:rowOff>171450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pane ySplit="1" topLeftCell="A2" activePane="bottomLeft" state="frozen"/>
      <selection pane="bottomLeft" activeCell="K16" sqref="K16"/>
    </sheetView>
  </sheetViews>
  <sheetFormatPr defaultRowHeight="15"/>
  <cols>
    <col min="1" max="1" width="11.42578125" style="1" customWidth="1"/>
    <col min="2" max="2" width="13.5703125" style="1" customWidth="1"/>
    <col min="3" max="3" width="16" style="1" customWidth="1"/>
    <col min="4" max="4" width="15.42578125" style="1" customWidth="1"/>
    <col min="5" max="5" width="14.42578125" style="1" customWidth="1"/>
    <col min="6" max="6" width="15.28515625" style="1" customWidth="1"/>
    <col min="7" max="7" width="12.28515625" style="1" customWidth="1"/>
    <col min="8" max="8" width="20" style="1" customWidth="1"/>
    <col min="9" max="9" width="18.85546875" style="1" customWidth="1"/>
    <col min="10" max="10" width="14.5703125" style="1" customWidth="1"/>
  </cols>
  <sheetData>
    <row r="1" spans="1:10" s="20" customFormat="1">
      <c r="A1" s="21" t="s">
        <v>6</v>
      </c>
      <c r="B1" s="21" t="s">
        <v>0</v>
      </c>
      <c r="C1" s="21" t="s">
        <v>52</v>
      </c>
      <c r="D1" s="21" t="s">
        <v>50</v>
      </c>
      <c r="E1" s="21" t="s">
        <v>4</v>
      </c>
      <c r="F1" s="21" t="s">
        <v>51</v>
      </c>
      <c r="G1" s="21" t="s">
        <v>53</v>
      </c>
      <c r="H1" s="21" t="s">
        <v>54</v>
      </c>
      <c r="I1" s="21" t="s">
        <v>80</v>
      </c>
      <c r="J1" s="20" t="s">
        <v>86</v>
      </c>
    </row>
    <row r="2" spans="1:10">
      <c r="A2" s="24">
        <v>40437</v>
      </c>
      <c r="B2" s="1" t="s">
        <v>24</v>
      </c>
      <c r="C2" s="1">
        <v>15</v>
      </c>
      <c r="D2" s="1">
        <v>458</v>
      </c>
      <c r="E2" s="1">
        <v>4</v>
      </c>
      <c r="F2" s="1">
        <f>D2/E2</f>
        <v>114.5</v>
      </c>
      <c r="G2" s="1" t="s">
        <v>84</v>
      </c>
      <c r="H2" s="1">
        <f>159+(-62.5)</f>
        <v>96.5</v>
      </c>
      <c r="I2" s="1">
        <v>6</v>
      </c>
      <c r="J2" s="1">
        <f>(((-52.3)+(-62.9)+(-54.7)+(-58.5)+(-50.3)+(-54.7)+(-56)+(-50.4)+(-57.7)+(-57.8)+(-60.5)+(-54.6))/12)/-61.4</f>
        <v>0.90988056460369171</v>
      </c>
    </row>
    <row r="3" spans="1:10">
      <c r="B3" s="1" t="s">
        <v>58</v>
      </c>
      <c r="C3" s="1">
        <v>14</v>
      </c>
      <c r="D3" s="1">
        <v>291</v>
      </c>
      <c r="E3" s="1">
        <v>4</v>
      </c>
      <c r="F3" s="1">
        <f t="shared" ref="F3:F34" si="0">D3/E3</f>
        <v>72.75</v>
      </c>
      <c r="G3" s="1" t="s">
        <v>84</v>
      </c>
      <c r="H3" s="1">
        <f>(-61.3)+159</f>
        <v>97.7</v>
      </c>
      <c r="I3" s="1">
        <v>5</v>
      </c>
    </row>
    <row r="4" spans="1:10">
      <c r="B4" s="1" t="s">
        <v>30</v>
      </c>
      <c r="C4" s="1">
        <v>22</v>
      </c>
      <c r="D4" s="1">
        <v>371</v>
      </c>
      <c r="E4" s="1">
        <v>4</v>
      </c>
      <c r="F4" s="1">
        <f t="shared" si="0"/>
        <v>92.75</v>
      </c>
      <c r="G4" s="1" t="s">
        <v>84</v>
      </c>
      <c r="H4" s="1">
        <f>(-62)+159</f>
        <v>97</v>
      </c>
      <c r="I4" s="1">
        <v>3</v>
      </c>
    </row>
    <row r="5" spans="1:10">
      <c r="B5" s="1" t="s">
        <v>31</v>
      </c>
      <c r="C5" s="1">
        <v>11</v>
      </c>
      <c r="D5" s="1">
        <v>530</v>
      </c>
      <c r="E5" s="1">
        <v>4</v>
      </c>
      <c r="F5" s="1">
        <f t="shared" si="0"/>
        <v>132.5</v>
      </c>
      <c r="G5" s="1" t="s">
        <v>84</v>
      </c>
      <c r="H5" s="1">
        <f>(-61.2)+159</f>
        <v>97.8</v>
      </c>
      <c r="I5" s="1">
        <v>4</v>
      </c>
    </row>
    <row r="6" spans="1:10">
      <c r="B6" s="1" t="s">
        <v>32</v>
      </c>
      <c r="C6" s="1">
        <v>16</v>
      </c>
      <c r="D6" s="1">
        <v>328</v>
      </c>
      <c r="E6" s="1">
        <v>4</v>
      </c>
      <c r="F6" s="1">
        <f t="shared" si="0"/>
        <v>82</v>
      </c>
      <c r="G6" s="1" t="s">
        <v>84</v>
      </c>
      <c r="H6" s="1">
        <f>(-62.8)+159</f>
        <v>96.2</v>
      </c>
      <c r="I6" s="1">
        <v>5</v>
      </c>
    </row>
    <row r="7" spans="1:10">
      <c r="B7" s="1" t="s">
        <v>33</v>
      </c>
      <c r="C7" s="1">
        <v>10</v>
      </c>
      <c r="D7" s="1">
        <v>316</v>
      </c>
      <c r="E7" s="1">
        <v>6</v>
      </c>
      <c r="F7" s="1">
        <f t="shared" si="0"/>
        <v>52.666666666666664</v>
      </c>
      <c r="G7" s="1" t="s">
        <v>84</v>
      </c>
      <c r="H7" s="1">
        <f>(-64.4)+159</f>
        <v>94.6</v>
      </c>
      <c r="I7" s="1">
        <v>4</v>
      </c>
    </row>
    <row r="8" spans="1:10">
      <c r="B8" s="1" t="s">
        <v>59</v>
      </c>
      <c r="C8" s="1">
        <v>30</v>
      </c>
      <c r="D8" s="1">
        <v>246</v>
      </c>
      <c r="E8" s="1">
        <v>6</v>
      </c>
      <c r="F8" s="1">
        <f t="shared" si="0"/>
        <v>41</v>
      </c>
      <c r="G8" s="1" t="s">
        <v>84</v>
      </c>
      <c r="H8" s="1">
        <f>(-62.4)+159</f>
        <v>96.6</v>
      </c>
      <c r="I8" s="1">
        <v>6</v>
      </c>
    </row>
    <row r="9" spans="1:10">
      <c r="B9" s="1" t="s">
        <v>60</v>
      </c>
      <c r="C9" s="1">
        <v>10</v>
      </c>
      <c r="D9" s="1">
        <v>344</v>
      </c>
      <c r="E9" s="1">
        <v>6</v>
      </c>
      <c r="F9" s="1">
        <f t="shared" si="0"/>
        <v>57.333333333333336</v>
      </c>
      <c r="G9" s="1" t="s">
        <v>84</v>
      </c>
      <c r="H9" s="1">
        <f>(-62.2)+159</f>
        <v>96.8</v>
      </c>
      <c r="I9" s="1">
        <v>3</v>
      </c>
    </row>
    <row r="10" spans="1:10">
      <c r="B10" s="1" t="s">
        <v>61</v>
      </c>
      <c r="C10" s="1">
        <v>15</v>
      </c>
      <c r="D10" s="1">
        <v>159</v>
      </c>
      <c r="E10" s="1">
        <v>6</v>
      </c>
      <c r="F10" s="1">
        <f t="shared" si="0"/>
        <v>26.5</v>
      </c>
      <c r="G10" s="1" t="s">
        <v>84</v>
      </c>
      <c r="H10" s="1">
        <f>(-63.2)+159</f>
        <v>95.8</v>
      </c>
      <c r="I10" s="1">
        <v>2</v>
      </c>
    </row>
    <row r="11" spans="1:10">
      <c r="B11" s="1" t="s">
        <v>62</v>
      </c>
      <c r="C11" s="1">
        <v>16</v>
      </c>
      <c r="D11" s="1">
        <v>190</v>
      </c>
      <c r="E11" s="1">
        <v>6</v>
      </c>
      <c r="F11" s="1">
        <f t="shared" si="0"/>
        <v>31.666666666666668</v>
      </c>
      <c r="G11" s="1" t="s">
        <v>84</v>
      </c>
      <c r="H11" s="1">
        <f>(-61.4)+159</f>
        <v>97.6</v>
      </c>
      <c r="I11" s="1">
        <v>4</v>
      </c>
    </row>
    <row r="12" spans="1:10">
      <c r="B12" s="1" t="s">
        <v>63</v>
      </c>
      <c r="C12" s="1">
        <v>10</v>
      </c>
      <c r="D12" s="1">
        <v>138</v>
      </c>
      <c r="E12" s="1">
        <v>4</v>
      </c>
      <c r="F12" s="1">
        <f t="shared" si="0"/>
        <v>34.5</v>
      </c>
      <c r="G12" s="1" t="s">
        <v>84</v>
      </c>
      <c r="H12" s="1">
        <f>(-59.5)+159</f>
        <v>99.5</v>
      </c>
      <c r="I12" s="1">
        <v>2</v>
      </c>
    </row>
    <row r="13" spans="1:10">
      <c r="B13" s="1" t="s">
        <v>64</v>
      </c>
      <c r="C13" s="1">
        <v>10</v>
      </c>
      <c r="D13" s="1">
        <v>119</v>
      </c>
      <c r="E13" s="1">
        <v>4</v>
      </c>
      <c r="F13" s="1">
        <f t="shared" si="0"/>
        <v>29.75</v>
      </c>
      <c r="G13" s="1" t="s">
        <v>84</v>
      </c>
      <c r="H13" s="1">
        <f>(-59.5)+159</f>
        <v>99.5</v>
      </c>
      <c r="I13" s="1">
        <v>0</v>
      </c>
    </row>
    <row r="14" spans="1:10">
      <c r="B14" s="1" t="s">
        <v>65</v>
      </c>
      <c r="C14" s="1">
        <v>15</v>
      </c>
      <c r="D14" s="1">
        <v>145</v>
      </c>
      <c r="E14" s="1">
        <v>4</v>
      </c>
      <c r="F14" s="1">
        <f t="shared" si="0"/>
        <v>36.25</v>
      </c>
      <c r="G14" s="1" t="s">
        <v>84</v>
      </c>
      <c r="H14" s="1">
        <f>(-57.1)+159</f>
        <v>101.9</v>
      </c>
      <c r="I14" s="1">
        <v>0</v>
      </c>
    </row>
    <row r="15" spans="1:10">
      <c r="B15" s="1" t="s">
        <v>66</v>
      </c>
      <c r="C15" s="1">
        <v>15</v>
      </c>
      <c r="D15" s="1">
        <v>178</v>
      </c>
      <c r="E15" s="1">
        <v>4</v>
      </c>
      <c r="F15" s="1">
        <f t="shared" si="0"/>
        <v>44.5</v>
      </c>
      <c r="G15" s="1" t="s">
        <v>84</v>
      </c>
      <c r="H15" s="1">
        <f>(-59.4)+159</f>
        <v>99.6</v>
      </c>
      <c r="I15" s="1">
        <v>0</v>
      </c>
    </row>
    <row r="16" spans="1:10">
      <c r="B16" s="1" t="s">
        <v>67</v>
      </c>
      <c r="C16" s="1">
        <v>10</v>
      </c>
      <c r="D16" s="1">
        <v>175</v>
      </c>
      <c r="E16" s="1">
        <v>4</v>
      </c>
      <c r="F16" s="1">
        <f t="shared" si="0"/>
        <v>43.75</v>
      </c>
      <c r="G16" s="1" t="s">
        <v>84</v>
      </c>
      <c r="H16" s="1">
        <f>(-61.5)+159</f>
        <v>97.5</v>
      </c>
      <c r="I16" s="1">
        <v>1</v>
      </c>
    </row>
    <row r="17" spans="2:9">
      <c r="B17" s="1" t="s">
        <v>68</v>
      </c>
      <c r="C17" s="1">
        <v>10</v>
      </c>
      <c r="D17" s="1">
        <v>182</v>
      </c>
      <c r="E17" s="1">
        <v>4</v>
      </c>
      <c r="F17" s="1">
        <f t="shared" si="0"/>
        <v>45.5</v>
      </c>
      <c r="G17" s="1" t="s">
        <v>84</v>
      </c>
      <c r="H17" s="1">
        <f>(-62.1)+159</f>
        <v>96.9</v>
      </c>
      <c r="I17" s="1">
        <v>2</v>
      </c>
    </row>
    <row r="18" spans="2:9">
      <c r="B18" s="1" t="s">
        <v>69</v>
      </c>
      <c r="C18" s="1">
        <v>11</v>
      </c>
      <c r="D18" s="1">
        <v>174</v>
      </c>
      <c r="E18" s="1">
        <v>4</v>
      </c>
      <c r="F18" s="1">
        <f t="shared" si="0"/>
        <v>43.5</v>
      </c>
      <c r="G18" s="1" t="s">
        <v>84</v>
      </c>
      <c r="H18" s="1">
        <f>(-63.5)+159</f>
        <v>95.5</v>
      </c>
      <c r="I18" s="1">
        <v>6</v>
      </c>
    </row>
    <row r="19" spans="2:9">
      <c r="B19" s="1" t="s">
        <v>70</v>
      </c>
      <c r="C19" s="1">
        <v>15</v>
      </c>
      <c r="D19" s="1">
        <v>367</v>
      </c>
      <c r="E19" s="1">
        <v>4</v>
      </c>
      <c r="F19" s="1">
        <f t="shared" si="0"/>
        <v>91.75</v>
      </c>
      <c r="G19" s="1" t="s">
        <v>84</v>
      </c>
      <c r="H19" s="1">
        <f>(-63.9)+159</f>
        <v>95.1</v>
      </c>
      <c r="I19" s="1">
        <v>0</v>
      </c>
    </row>
    <row r="20" spans="2:9">
      <c r="B20" s="1" t="s">
        <v>71</v>
      </c>
      <c r="C20" s="1">
        <v>8</v>
      </c>
      <c r="D20" s="1">
        <v>143</v>
      </c>
      <c r="E20" s="1">
        <v>4</v>
      </c>
      <c r="F20" s="1">
        <f t="shared" si="0"/>
        <v>35.75</v>
      </c>
      <c r="G20" s="1" t="s">
        <v>84</v>
      </c>
      <c r="H20" s="1">
        <f>(-63.4)+159</f>
        <v>95.6</v>
      </c>
      <c r="I20" s="1">
        <v>7</v>
      </c>
    </row>
    <row r="21" spans="2:9">
      <c r="B21" s="1" t="s">
        <v>72</v>
      </c>
      <c r="C21" s="1">
        <v>9</v>
      </c>
      <c r="D21" s="1">
        <v>163</v>
      </c>
      <c r="E21" s="1">
        <v>4</v>
      </c>
      <c r="F21" s="1">
        <f t="shared" si="0"/>
        <v>40.75</v>
      </c>
      <c r="G21" s="1" t="s">
        <v>84</v>
      </c>
      <c r="H21" s="1">
        <f>(-63.9)+159</f>
        <v>95.1</v>
      </c>
      <c r="I21" s="1">
        <v>2</v>
      </c>
    </row>
    <row r="22" spans="2:9">
      <c r="B22" s="1" t="s">
        <v>73</v>
      </c>
      <c r="C22" s="1">
        <v>8</v>
      </c>
      <c r="D22" s="1">
        <v>156</v>
      </c>
      <c r="E22" s="1">
        <v>4</v>
      </c>
      <c r="F22" s="1">
        <f t="shared" si="0"/>
        <v>39</v>
      </c>
      <c r="G22" s="1" t="s">
        <v>84</v>
      </c>
      <c r="H22" s="1">
        <f>(-61.3)+159</f>
        <v>97.7</v>
      </c>
      <c r="I22" s="1">
        <v>6</v>
      </c>
    </row>
    <row r="23" spans="2:9">
      <c r="B23" s="1" t="s">
        <v>74</v>
      </c>
      <c r="C23" s="1">
        <v>3</v>
      </c>
      <c r="D23" s="1">
        <v>34</v>
      </c>
      <c r="E23" s="1">
        <v>4</v>
      </c>
      <c r="F23" s="1">
        <f t="shared" si="0"/>
        <v>8.5</v>
      </c>
      <c r="G23" s="1" t="s">
        <v>84</v>
      </c>
      <c r="H23" s="1">
        <f>(-61.5)+159</f>
        <v>97.5</v>
      </c>
      <c r="I23" s="1">
        <v>0</v>
      </c>
    </row>
    <row r="24" spans="2:9">
      <c r="B24" s="1" t="s">
        <v>75</v>
      </c>
      <c r="C24" s="1">
        <v>10</v>
      </c>
      <c r="D24" s="1">
        <v>120</v>
      </c>
      <c r="E24" s="1">
        <v>4</v>
      </c>
      <c r="F24" s="1">
        <f t="shared" si="0"/>
        <v>30</v>
      </c>
      <c r="G24" s="1" t="s">
        <v>84</v>
      </c>
      <c r="H24" s="1">
        <f>(-61.2)+159</f>
        <v>97.8</v>
      </c>
      <c r="I24" s="1">
        <v>4</v>
      </c>
    </row>
    <row r="25" spans="2:9">
      <c r="B25" s="1" t="s">
        <v>76</v>
      </c>
      <c r="C25" s="1">
        <v>18</v>
      </c>
      <c r="D25" s="1">
        <v>24</v>
      </c>
      <c r="E25" s="1">
        <v>4</v>
      </c>
      <c r="F25" s="1">
        <f t="shared" si="0"/>
        <v>6</v>
      </c>
      <c r="G25" s="1" t="s">
        <v>84</v>
      </c>
      <c r="H25" s="1">
        <f>(-60.4)+159</f>
        <v>98.6</v>
      </c>
      <c r="I25" s="1">
        <v>0</v>
      </c>
    </row>
    <row r="26" spans="2:9">
      <c r="B26" s="1" t="s">
        <v>77</v>
      </c>
      <c r="C26" s="1">
        <v>9</v>
      </c>
      <c r="D26" s="1">
        <v>128</v>
      </c>
      <c r="E26" s="1">
        <v>4</v>
      </c>
      <c r="F26" s="1">
        <f t="shared" si="0"/>
        <v>32</v>
      </c>
      <c r="G26" s="1" t="s">
        <v>84</v>
      </c>
      <c r="H26" s="1">
        <f>(-60.1)+159</f>
        <v>98.9</v>
      </c>
      <c r="I26" s="1">
        <v>3</v>
      </c>
    </row>
    <row r="27" spans="2:9">
      <c r="B27" s="1" t="s">
        <v>35</v>
      </c>
      <c r="C27" s="1">
        <v>9</v>
      </c>
      <c r="D27" s="1">
        <v>96</v>
      </c>
      <c r="E27" s="1">
        <v>7</v>
      </c>
      <c r="F27" s="1">
        <f t="shared" si="0"/>
        <v>13.714285714285714</v>
      </c>
      <c r="G27" s="1" t="s">
        <v>36</v>
      </c>
      <c r="H27" s="1">
        <f>(-60.7)+159</f>
        <v>98.3</v>
      </c>
      <c r="I27" s="1">
        <v>0</v>
      </c>
    </row>
    <row r="28" spans="2:9">
      <c r="B28" s="1" t="s">
        <v>38</v>
      </c>
      <c r="C28" s="1">
        <v>19</v>
      </c>
      <c r="D28" s="1">
        <v>502</v>
      </c>
      <c r="E28" s="1">
        <v>7</v>
      </c>
      <c r="F28" s="1">
        <f t="shared" si="0"/>
        <v>71.714285714285708</v>
      </c>
      <c r="G28" s="1" t="s">
        <v>36</v>
      </c>
      <c r="H28" s="1">
        <f>(-59.7)+159</f>
        <v>99.3</v>
      </c>
      <c r="I28" s="1">
        <v>1</v>
      </c>
    </row>
    <row r="29" spans="2:9">
      <c r="B29" s="1" t="s">
        <v>42</v>
      </c>
      <c r="C29" s="1">
        <v>44</v>
      </c>
      <c r="D29" s="1">
        <v>1099</v>
      </c>
      <c r="E29" s="1">
        <v>7</v>
      </c>
      <c r="F29" s="1">
        <f t="shared" si="0"/>
        <v>157</v>
      </c>
      <c r="G29" s="1" t="s">
        <v>36</v>
      </c>
      <c r="H29" s="1">
        <f>(-60.5)+159</f>
        <v>98.5</v>
      </c>
      <c r="I29" s="1">
        <v>5</v>
      </c>
    </row>
    <row r="30" spans="2:9">
      <c r="B30" s="1" t="s">
        <v>78</v>
      </c>
      <c r="C30" s="1">
        <v>69</v>
      </c>
      <c r="D30" s="1">
        <v>1168</v>
      </c>
      <c r="E30" s="1">
        <v>7</v>
      </c>
      <c r="F30" s="1">
        <f t="shared" si="0"/>
        <v>166.85714285714286</v>
      </c>
      <c r="G30" s="1" t="s">
        <v>36</v>
      </c>
      <c r="H30" s="1">
        <f>(-59.6)+159</f>
        <v>99.4</v>
      </c>
      <c r="I30" s="1">
        <v>6</v>
      </c>
    </row>
    <row r="31" spans="2:9">
      <c r="B31" s="1" t="s">
        <v>79</v>
      </c>
      <c r="C31" s="1">
        <v>13</v>
      </c>
      <c r="D31" s="1">
        <v>1071</v>
      </c>
      <c r="E31" s="1">
        <v>7</v>
      </c>
      <c r="F31" s="1">
        <f t="shared" si="0"/>
        <v>153</v>
      </c>
      <c r="G31" s="1" t="s">
        <v>36</v>
      </c>
      <c r="H31" s="1">
        <f>(-59.6)+159</f>
        <v>99.4</v>
      </c>
      <c r="I31" s="1">
        <v>7</v>
      </c>
    </row>
    <row r="32" spans="2:9">
      <c r="B32" s="1" t="s">
        <v>81</v>
      </c>
      <c r="C32" s="1">
        <v>11</v>
      </c>
      <c r="D32" s="1">
        <v>1078</v>
      </c>
      <c r="E32" s="1">
        <v>5</v>
      </c>
      <c r="F32" s="1">
        <f t="shared" si="0"/>
        <v>215.6</v>
      </c>
      <c r="G32" s="1" t="s">
        <v>84</v>
      </c>
      <c r="H32" s="1">
        <f>(-61.5)+159</f>
        <v>97.5</v>
      </c>
      <c r="I32" s="1">
        <v>13</v>
      </c>
    </row>
    <row r="33" spans="1:10">
      <c r="B33" s="1" t="s">
        <v>82</v>
      </c>
      <c r="C33" s="1">
        <v>19</v>
      </c>
      <c r="D33" s="1">
        <v>931</v>
      </c>
      <c r="E33" s="1">
        <v>5</v>
      </c>
      <c r="F33" s="1">
        <f t="shared" si="0"/>
        <v>186.2</v>
      </c>
      <c r="G33" s="1" t="s">
        <v>84</v>
      </c>
      <c r="H33" s="1">
        <f>(-64.6)+159</f>
        <v>94.4</v>
      </c>
      <c r="I33" s="1">
        <v>4</v>
      </c>
    </row>
    <row r="34" spans="1:10">
      <c r="B34" s="1" t="s">
        <v>83</v>
      </c>
      <c r="C34" s="1">
        <v>11</v>
      </c>
      <c r="D34" s="1">
        <v>466</v>
      </c>
      <c r="E34" s="1">
        <v>5</v>
      </c>
      <c r="F34" s="1">
        <f t="shared" si="0"/>
        <v>93.2</v>
      </c>
      <c r="G34" s="1" t="s">
        <v>84</v>
      </c>
      <c r="H34" s="1">
        <f>(-67)+159</f>
        <v>92</v>
      </c>
      <c r="I34" s="1">
        <v>2</v>
      </c>
    </row>
    <row r="35" spans="1:10">
      <c r="A35" s="24">
        <v>40441</v>
      </c>
      <c r="B35" s="1" t="s">
        <v>85</v>
      </c>
      <c r="C35" s="1" t="s">
        <v>87</v>
      </c>
      <c r="D35" s="1">
        <v>247</v>
      </c>
      <c r="H35" s="1">
        <f>(-43.2)+159</f>
        <v>115.8</v>
      </c>
      <c r="I35" s="1">
        <v>0</v>
      </c>
      <c r="J35" s="1">
        <f>(((-41.9)+(-38)+(-39.9)+(-37.4)+(-43.7)+(-36.5)+(-40.6)+(-42)+(-40.9)+(-42.1)+(-36.3)+(42.1))/12)/(-43.1)</f>
        <v>0.76798143851508116</v>
      </c>
    </row>
  </sheetData>
  <pageMargins left="0.7" right="0.7" top="0.75" bottom="0.75" header="0.3" footer="0.3"/>
  <pageSetup orientation="portrait" horizontalDpi="300" verticalDpi="0" r:id="rId1"/>
  <ignoredErrors>
    <ignoredError sqref="H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F1" sqref="F1:F15"/>
    </sheetView>
  </sheetViews>
  <sheetFormatPr defaultRowHeight="15"/>
  <cols>
    <col min="1" max="1" width="11.28515625" customWidth="1"/>
    <col min="2" max="2" width="13.85546875" customWidth="1"/>
    <col min="3" max="3" width="13.28515625" customWidth="1"/>
    <col min="4" max="4" width="15.5703125" bestFit="1" customWidth="1"/>
    <col min="5" max="5" width="18" style="1" customWidth="1"/>
    <col min="6" max="6" width="13.42578125" style="1" customWidth="1"/>
  </cols>
  <sheetData>
    <row r="1" spans="1:6">
      <c r="A1" s="3" t="s">
        <v>6</v>
      </c>
      <c r="B1" s="3" t="s">
        <v>0</v>
      </c>
      <c r="C1" s="3" t="s">
        <v>41</v>
      </c>
      <c r="D1" s="3" t="s">
        <v>55</v>
      </c>
      <c r="E1" s="3" t="s">
        <v>57</v>
      </c>
      <c r="F1" s="22" t="s">
        <v>56</v>
      </c>
    </row>
    <row r="2" spans="1:6">
      <c r="A2" s="18">
        <v>40437</v>
      </c>
      <c r="B2" s="16" t="s">
        <v>24</v>
      </c>
      <c r="C2" s="16">
        <v>463</v>
      </c>
      <c r="D2" s="16">
        <v>516</v>
      </c>
      <c r="E2" s="16">
        <v>15</v>
      </c>
      <c r="F2" s="23">
        <v>458</v>
      </c>
    </row>
    <row r="3" spans="1:6">
      <c r="A3" s="18"/>
      <c r="B3" s="16" t="s">
        <v>29</v>
      </c>
      <c r="C3" s="16">
        <v>417</v>
      </c>
      <c r="D3" s="16">
        <v>329</v>
      </c>
      <c r="E3" s="16">
        <v>14</v>
      </c>
      <c r="F3" s="23">
        <v>291</v>
      </c>
    </row>
    <row r="4" spans="1:6">
      <c r="A4" s="16"/>
      <c r="B4" s="16" t="s">
        <v>30</v>
      </c>
      <c r="C4" s="16">
        <v>383</v>
      </c>
      <c r="D4" s="16">
        <v>425</v>
      </c>
      <c r="E4" s="16">
        <v>22</v>
      </c>
      <c r="F4" s="23">
        <v>371</v>
      </c>
    </row>
    <row r="5" spans="1:6">
      <c r="A5" s="16"/>
      <c r="B5" s="16" t="s">
        <v>31</v>
      </c>
      <c r="C5" s="16">
        <v>530</v>
      </c>
      <c r="D5" s="16">
        <v>569</v>
      </c>
      <c r="E5" s="16">
        <v>11</v>
      </c>
      <c r="F5" s="23">
        <v>530</v>
      </c>
    </row>
    <row r="6" spans="1:6">
      <c r="A6" s="16"/>
      <c r="B6" s="16" t="s">
        <v>32</v>
      </c>
      <c r="C6" s="16">
        <v>402</v>
      </c>
      <c r="D6" s="16">
        <v>400</v>
      </c>
      <c r="E6" s="16">
        <v>16</v>
      </c>
      <c r="F6" s="23">
        <v>328</v>
      </c>
    </row>
    <row r="7" spans="1:6">
      <c r="A7" s="16"/>
      <c r="B7" s="16" t="s">
        <v>33</v>
      </c>
      <c r="C7" s="16">
        <v>357</v>
      </c>
      <c r="D7" s="16">
        <v>337</v>
      </c>
      <c r="E7" s="16">
        <v>10</v>
      </c>
      <c r="F7" s="23">
        <v>316</v>
      </c>
    </row>
    <row r="8" spans="1:6">
      <c r="A8" s="16"/>
      <c r="B8" s="16" t="s">
        <v>35</v>
      </c>
      <c r="C8" s="16">
        <v>284</v>
      </c>
      <c r="D8" s="16">
        <v>118</v>
      </c>
      <c r="E8" s="16">
        <v>8</v>
      </c>
      <c r="F8" s="23">
        <v>102</v>
      </c>
    </row>
    <row r="9" spans="1:6">
      <c r="A9" s="16"/>
      <c r="B9" s="16" t="s">
        <v>38</v>
      </c>
      <c r="C9" s="16">
        <v>385</v>
      </c>
      <c r="D9" s="16">
        <v>512</v>
      </c>
      <c r="E9" s="16">
        <v>34</v>
      </c>
      <c r="F9" s="23">
        <v>463</v>
      </c>
    </row>
    <row r="10" spans="1:6">
      <c r="A10" s="16"/>
      <c r="B10" s="19" t="s">
        <v>42</v>
      </c>
      <c r="C10" s="16">
        <v>909</v>
      </c>
      <c r="D10" s="16">
        <v>1252</v>
      </c>
      <c r="E10" s="16">
        <v>44</v>
      </c>
      <c r="F10" s="23">
        <v>1099</v>
      </c>
    </row>
    <row r="11" spans="1:6">
      <c r="A11" s="16"/>
      <c r="B11" s="19" t="s">
        <v>44</v>
      </c>
      <c r="C11" s="16">
        <v>0</v>
      </c>
      <c r="D11" s="16">
        <v>0</v>
      </c>
      <c r="E11" s="16">
        <v>0</v>
      </c>
      <c r="F11" s="23">
        <v>0</v>
      </c>
    </row>
    <row r="12" spans="1:6">
      <c r="A12" s="18">
        <v>40441</v>
      </c>
      <c r="B12" s="19" t="s">
        <v>46</v>
      </c>
      <c r="C12" s="16">
        <v>161</v>
      </c>
      <c r="D12" s="16">
        <v>417</v>
      </c>
      <c r="E12" s="16">
        <v>152</v>
      </c>
      <c r="F12" s="23">
        <v>406</v>
      </c>
    </row>
    <row r="13" spans="1:6">
      <c r="A13" s="18"/>
      <c r="B13" s="19" t="s">
        <v>49</v>
      </c>
      <c r="C13" s="16">
        <v>102</v>
      </c>
      <c r="D13" s="16">
        <v>315</v>
      </c>
      <c r="E13" s="16">
        <v>132</v>
      </c>
      <c r="F13" s="23">
        <v>301</v>
      </c>
    </row>
    <row r="14" spans="1:6">
      <c r="A14" s="16"/>
      <c r="B14" s="16" t="s">
        <v>45</v>
      </c>
      <c r="C14" s="16">
        <v>26</v>
      </c>
      <c r="D14" s="16">
        <v>19</v>
      </c>
      <c r="E14" s="16">
        <v>116</v>
      </c>
      <c r="F14" s="23">
        <v>18</v>
      </c>
    </row>
    <row r="15" spans="1:6">
      <c r="A15" s="18">
        <v>40442</v>
      </c>
      <c r="B15" s="16" t="s">
        <v>47</v>
      </c>
      <c r="C15" s="16">
        <v>529</v>
      </c>
      <c r="D15" s="16">
        <v>894</v>
      </c>
      <c r="E15" s="16">
        <v>301</v>
      </c>
      <c r="F15" s="23">
        <v>748</v>
      </c>
    </row>
    <row r="16" spans="1:6">
      <c r="A16" s="16"/>
      <c r="B16" s="16"/>
      <c r="C16" s="16"/>
      <c r="D16" s="16"/>
    </row>
    <row r="17" spans="1:5">
      <c r="A17" s="16"/>
      <c r="B17" s="16"/>
      <c r="C17" s="16"/>
      <c r="D17" s="16"/>
    </row>
    <row r="18" spans="1:5">
      <c r="A18" s="16"/>
      <c r="B18" s="16"/>
      <c r="C18" s="16"/>
      <c r="D18" s="16"/>
    </row>
    <row r="19" spans="1:5">
      <c r="A19" s="16"/>
      <c r="B19" s="16"/>
      <c r="C19" s="16"/>
      <c r="D19" s="16"/>
    </row>
    <row r="20" spans="1:5">
      <c r="A20" s="16"/>
      <c r="B20" s="16"/>
      <c r="C20" s="16"/>
      <c r="D20" s="16"/>
    </row>
    <row r="21" spans="1:5">
      <c r="A21" s="16"/>
      <c r="B21" s="16"/>
      <c r="C21" s="16"/>
      <c r="D21" s="16"/>
    </row>
    <row r="22" spans="1:5">
      <c r="A22" s="16"/>
      <c r="B22" s="16"/>
      <c r="C22" s="16"/>
      <c r="D22" s="16"/>
    </row>
    <row r="23" spans="1:5">
      <c r="A23" s="16"/>
      <c r="B23" s="16"/>
      <c r="C23" s="16"/>
      <c r="D23" s="16"/>
    </row>
    <row r="24" spans="1:5">
      <c r="A24" s="16"/>
      <c r="B24" s="16"/>
      <c r="C24" s="16"/>
      <c r="D24" s="16"/>
    </row>
    <row r="25" spans="1:5">
      <c r="A25" s="16"/>
      <c r="B25" s="16"/>
      <c r="C25" s="16"/>
      <c r="D25" s="16"/>
    </row>
    <row r="26" spans="1:5">
      <c r="A26" s="18">
        <v>40441</v>
      </c>
      <c r="B26" s="19" t="s">
        <v>43</v>
      </c>
      <c r="C26" s="16">
        <v>376</v>
      </c>
      <c r="D26" s="16">
        <v>1189</v>
      </c>
      <c r="E26" s="1" t="s">
        <v>48</v>
      </c>
    </row>
    <row r="27" spans="1:5">
      <c r="A27" s="16"/>
      <c r="B27" s="16"/>
      <c r="C27" s="16"/>
      <c r="D27" s="16"/>
    </row>
    <row r="28" spans="1:5">
      <c r="A28" s="1"/>
      <c r="B28" s="1"/>
      <c r="C28" s="1"/>
      <c r="D28" s="1"/>
    </row>
    <row r="29" spans="1:5">
      <c r="A29" s="1"/>
      <c r="B29" s="1"/>
      <c r="C29" s="1"/>
      <c r="D29" s="1"/>
    </row>
    <row r="30" spans="1:5">
      <c r="A30" s="1"/>
      <c r="B30" s="1"/>
      <c r="C30" s="1"/>
      <c r="D30" s="1"/>
    </row>
    <row r="31" spans="1:5">
      <c r="A31" s="1"/>
      <c r="B31" s="1"/>
      <c r="C31" s="1"/>
      <c r="D31" s="1"/>
    </row>
    <row r="32" spans="1:5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</sheetData>
  <pageMargins left="0.7" right="0.7" top="0.75" bottom="0.75" header="0.3" footer="0.3"/>
  <pageSetup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5"/>
  <sheetViews>
    <sheetView topLeftCell="E1" workbookViewId="0">
      <selection activeCell="J5" sqref="J5"/>
    </sheetView>
  </sheetViews>
  <sheetFormatPr defaultRowHeight="15"/>
  <cols>
    <col min="1" max="1" width="10.85546875" customWidth="1"/>
    <col min="2" max="2" width="14.7109375" style="1" customWidth="1"/>
    <col min="3" max="3" width="19.7109375" style="1" customWidth="1"/>
    <col min="4" max="4" width="18.5703125" style="1" customWidth="1"/>
    <col min="5" max="6" width="23" style="1" customWidth="1"/>
    <col min="7" max="8" width="15.140625" style="1" customWidth="1"/>
    <col min="9" max="9" width="14.85546875" style="1" customWidth="1"/>
    <col min="10" max="10" width="18.85546875" style="1" customWidth="1"/>
    <col min="12" max="12" width="12" bestFit="1" customWidth="1"/>
  </cols>
  <sheetData>
    <row r="1" spans="1:10">
      <c r="A1" s="3" t="s">
        <v>6</v>
      </c>
      <c r="B1" s="3" t="s">
        <v>0</v>
      </c>
      <c r="C1" s="3" t="s">
        <v>22</v>
      </c>
      <c r="D1" s="3" t="s">
        <v>21</v>
      </c>
      <c r="E1" s="3" t="s">
        <v>23</v>
      </c>
      <c r="F1" s="3" t="s">
        <v>28</v>
      </c>
      <c r="G1" s="3" t="s">
        <v>1</v>
      </c>
      <c r="H1" s="3" t="s">
        <v>5</v>
      </c>
      <c r="I1" s="3" t="s">
        <v>4</v>
      </c>
      <c r="J1" s="3" t="s">
        <v>27</v>
      </c>
    </row>
    <row r="2" spans="1:10">
      <c r="A2" s="17">
        <v>40437</v>
      </c>
      <c r="B2" s="16" t="s">
        <v>24</v>
      </c>
      <c r="C2" s="16">
        <f>((20+56+50+62+16+25+23+15+45+20)+ (376))/2</f>
        <v>354</v>
      </c>
      <c r="D2" s="16">
        <f>18+10+12+30+39</f>
        <v>109</v>
      </c>
      <c r="E2" s="16">
        <f>C2+D2</f>
        <v>463</v>
      </c>
      <c r="F2" s="16">
        <f>E2/I2</f>
        <v>115.75</v>
      </c>
      <c r="G2" s="16" t="s">
        <v>25</v>
      </c>
      <c r="H2" s="16" t="s">
        <v>26</v>
      </c>
      <c r="I2" s="16">
        <v>4</v>
      </c>
      <c r="J2" s="16">
        <f>(-61.5)+159</f>
        <v>97.5</v>
      </c>
    </row>
    <row r="3" spans="1:10">
      <c r="A3" s="17">
        <v>40437</v>
      </c>
      <c r="B3" s="16" t="s">
        <v>29</v>
      </c>
      <c r="C3" s="16">
        <v>331</v>
      </c>
      <c r="D3" s="16">
        <v>86</v>
      </c>
      <c r="E3" s="16">
        <f t="shared" ref="E3:E25" si="0">C3+D3</f>
        <v>417</v>
      </c>
      <c r="F3" s="16">
        <f t="shared" ref="F3:F25" si="1">E3/I3</f>
        <v>104.25</v>
      </c>
      <c r="G3" s="16" t="s">
        <v>25</v>
      </c>
      <c r="H3" s="16" t="s">
        <v>26</v>
      </c>
      <c r="I3" s="16">
        <v>4</v>
      </c>
      <c r="J3" s="16">
        <f>(-59.6)+159</f>
        <v>99.4</v>
      </c>
    </row>
    <row r="4" spans="1:10">
      <c r="A4" s="17">
        <v>40437</v>
      </c>
      <c r="B4" s="16" t="s">
        <v>30</v>
      </c>
      <c r="C4" s="16">
        <v>339</v>
      </c>
      <c r="D4" s="16">
        <v>44</v>
      </c>
      <c r="E4" s="16">
        <f t="shared" si="0"/>
        <v>383</v>
      </c>
      <c r="F4" s="16">
        <f t="shared" si="1"/>
        <v>95.75</v>
      </c>
      <c r="G4" s="16" t="s">
        <v>25</v>
      </c>
      <c r="H4" s="16" t="s">
        <v>26</v>
      </c>
      <c r="I4" s="16">
        <v>4</v>
      </c>
      <c r="J4" s="16">
        <f>(-61.9)+159</f>
        <v>97.1</v>
      </c>
    </row>
    <row r="5" spans="1:10">
      <c r="A5" s="17">
        <v>40437</v>
      </c>
      <c r="B5" s="16" t="s">
        <v>31</v>
      </c>
      <c r="C5" s="16">
        <v>404</v>
      </c>
      <c r="D5" s="16">
        <v>126</v>
      </c>
      <c r="E5" s="16">
        <f t="shared" si="0"/>
        <v>530</v>
      </c>
      <c r="F5" s="16">
        <f t="shared" si="1"/>
        <v>132.5</v>
      </c>
      <c r="G5" s="16" t="s">
        <v>25</v>
      </c>
      <c r="H5" s="16" t="s">
        <v>26</v>
      </c>
      <c r="I5" s="16">
        <v>4</v>
      </c>
      <c r="J5" s="16">
        <f>(-62.1)+159</f>
        <v>96.9</v>
      </c>
    </row>
    <row r="6" spans="1:10">
      <c r="A6" s="17">
        <v>40437</v>
      </c>
      <c r="B6" s="16" t="s">
        <v>32</v>
      </c>
      <c r="C6" s="16">
        <v>306</v>
      </c>
      <c r="D6" s="16">
        <v>96</v>
      </c>
      <c r="E6" s="16">
        <f t="shared" si="0"/>
        <v>402</v>
      </c>
      <c r="F6" s="16">
        <f t="shared" si="1"/>
        <v>100.5</v>
      </c>
      <c r="G6" s="16" t="s">
        <v>25</v>
      </c>
      <c r="H6" s="16" t="s">
        <v>26</v>
      </c>
      <c r="I6" s="16">
        <v>4</v>
      </c>
      <c r="J6" s="16">
        <f>(-62.2)+159</f>
        <v>96.8</v>
      </c>
    </row>
    <row r="7" spans="1:10">
      <c r="A7" s="17">
        <v>40437</v>
      </c>
      <c r="B7" s="16" t="s">
        <v>33</v>
      </c>
      <c r="C7" s="16">
        <v>271</v>
      </c>
      <c r="D7" s="16">
        <v>86</v>
      </c>
      <c r="E7" s="16">
        <f t="shared" si="0"/>
        <v>357</v>
      </c>
      <c r="F7" s="16">
        <f t="shared" si="1"/>
        <v>59.5</v>
      </c>
      <c r="G7" s="16" t="s">
        <v>25</v>
      </c>
      <c r="H7" s="16" t="s">
        <v>34</v>
      </c>
      <c r="I7" s="16">
        <v>6</v>
      </c>
      <c r="J7" s="16">
        <f>(-65.5)+159</f>
        <v>93.5</v>
      </c>
    </row>
    <row r="8" spans="1:10">
      <c r="A8" s="17">
        <v>40437</v>
      </c>
      <c r="B8" s="16" t="s">
        <v>35</v>
      </c>
      <c r="C8" s="16">
        <v>214</v>
      </c>
      <c r="D8" s="16">
        <v>70</v>
      </c>
      <c r="E8" s="16">
        <f t="shared" si="0"/>
        <v>284</v>
      </c>
      <c r="F8" s="16">
        <f t="shared" si="1"/>
        <v>40.571428571428569</v>
      </c>
      <c r="G8" s="16" t="s">
        <v>36</v>
      </c>
      <c r="H8" s="16" t="s">
        <v>37</v>
      </c>
      <c r="I8" s="16">
        <v>7</v>
      </c>
      <c r="J8" s="16">
        <f>(-62.5)+159</f>
        <v>96.5</v>
      </c>
    </row>
    <row r="9" spans="1:10">
      <c r="A9" s="17">
        <v>40437</v>
      </c>
      <c r="B9" s="16" t="s">
        <v>38</v>
      </c>
      <c r="C9" s="16">
        <v>222</v>
      </c>
      <c r="D9" s="16">
        <v>138</v>
      </c>
      <c r="E9" s="16">
        <f t="shared" si="0"/>
        <v>360</v>
      </c>
      <c r="F9" s="16">
        <f t="shared" si="1"/>
        <v>51.428571428571431</v>
      </c>
      <c r="G9" s="16" t="s">
        <v>36</v>
      </c>
      <c r="H9" s="16" t="s">
        <v>37</v>
      </c>
      <c r="I9" s="16">
        <v>7</v>
      </c>
      <c r="J9" s="16">
        <f>(-59.8)+159</f>
        <v>99.2</v>
      </c>
    </row>
    <row r="10" spans="1:10">
      <c r="A10" s="15">
        <v>40441</v>
      </c>
      <c r="B10" s="1" t="s">
        <v>39</v>
      </c>
      <c r="E10" s="1">
        <f t="shared" si="0"/>
        <v>0</v>
      </c>
      <c r="F10" s="1" t="e">
        <f t="shared" si="1"/>
        <v>#DIV/0!</v>
      </c>
    </row>
    <row r="11" spans="1:10">
      <c r="E11" s="1">
        <f t="shared" si="0"/>
        <v>0</v>
      </c>
      <c r="F11" s="1" t="e">
        <f t="shared" si="1"/>
        <v>#DIV/0!</v>
      </c>
    </row>
    <row r="12" spans="1:10">
      <c r="E12" s="1">
        <f t="shared" si="0"/>
        <v>0</v>
      </c>
      <c r="F12" s="1" t="e">
        <f t="shared" si="1"/>
        <v>#DIV/0!</v>
      </c>
    </row>
    <row r="13" spans="1:10">
      <c r="E13" s="1">
        <f t="shared" si="0"/>
        <v>0</v>
      </c>
      <c r="F13" s="1" t="e">
        <f t="shared" si="1"/>
        <v>#DIV/0!</v>
      </c>
    </row>
    <row r="14" spans="1:10">
      <c r="E14" s="1">
        <f t="shared" si="0"/>
        <v>0</v>
      </c>
      <c r="F14" s="1" t="e">
        <f t="shared" si="1"/>
        <v>#DIV/0!</v>
      </c>
    </row>
    <row r="15" spans="1:10">
      <c r="E15" s="1">
        <f t="shared" si="0"/>
        <v>0</v>
      </c>
      <c r="F15" s="1" t="e">
        <f t="shared" si="1"/>
        <v>#DIV/0!</v>
      </c>
      <c r="H15" s="1" t="s">
        <v>40</v>
      </c>
    </row>
    <row r="16" spans="1:10">
      <c r="E16" s="1">
        <f t="shared" si="0"/>
        <v>0</v>
      </c>
      <c r="F16" s="1">
        <f t="shared" si="1"/>
        <v>0</v>
      </c>
      <c r="H16" s="1" t="s">
        <v>25</v>
      </c>
      <c r="I16" s="1">
        <f>(F2+F3+F4+F5+F6+F7)/6</f>
        <v>101.375</v>
      </c>
    </row>
    <row r="17" spans="5:9">
      <c r="E17" s="1">
        <f t="shared" si="0"/>
        <v>0</v>
      </c>
      <c r="F17" s="1">
        <f t="shared" si="1"/>
        <v>0</v>
      </c>
      <c r="H17" s="1" t="s">
        <v>36</v>
      </c>
      <c r="I17" s="1">
        <f>(F8+F9)/2</f>
        <v>46</v>
      </c>
    </row>
    <row r="18" spans="5:9">
      <c r="E18" s="1">
        <f t="shared" si="0"/>
        <v>0</v>
      </c>
      <c r="F18" s="1" t="e">
        <f t="shared" si="1"/>
        <v>#DIV/0!</v>
      </c>
    </row>
    <row r="19" spans="5:9">
      <c r="E19" s="1">
        <f t="shared" si="0"/>
        <v>0</v>
      </c>
      <c r="F19" s="1" t="e">
        <f t="shared" si="1"/>
        <v>#DIV/0!</v>
      </c>
    </row>
    <row r="20" spans="5:9">
      <c r="E20" s="1">
        <f t="shared" si="0"/>
        <v>0</v>
      </c>
      <c r="F20" s="1" t="e">
        <f t="shared" si="1"/>
        <v>#DIV/0!</v>
      </c>
    </row>
    <row r="21" spans="5:9">
      <c r="E21" s="1">
        <f t="shared" si="0"/>
        <v>0</v>
      </c>
      <c r="F21" s="1" t="e">
        <f t="shared" si="1"/>
        <v>#DIV/0!</v>
      </c>
    </row>
    <row r="22" spans="5:9">
      <c r="E22" s="1">
        <f t="shared" si="0"/>
        <v>0</v>
      </c>
      <c r="F22" s="1" t="e">
        <f t="shared" si="1"/>
        <v>#DIV/0!</v>
      </c>
    </row>
    <row r="23" spans="5:9">
      <c r="E23" s="1">
        <f t="shared" si="0"/>
        <v>0</v>
      </c>
      <c r="F23" s="1" t="e">
        <f t="shared" si="1"/>
        <v>#DIV/0!</v>
      </c>
    </row>
    <row r="24" spans="5:9">
      <c r="E24" s="1">
        <f t="shared" si="0"/>
        <v>0</v>
      </c>
      <c r="F24" s="1" t="e">
        <f t="shared" si="1"/>
        <v>#DIV/0!</v>
      </c>
    </row>
    <row r="25" spans="5:9">
      <c r="E25" s="1">
        <f t="shared" si="0"/>
        <v>0</v>
      </c>
      <c r="F25" s="1" t="e">
        <f t="shared" si="1"/>
        <v>#DIV/0!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F10" sqref="F10"/>
    </sheetView>
  </sheetViews>
  <sheetFormatPr defaultRowHeight="15"/>
  <cols>
    <col min="1" max="1" width="12.28515625" style="4" customWidth="1"/>
    <col min="2" max="2" width="13.28515625" style="4" customWidth="1"/>
    <col min="3" max="3" width="12.7109375" customWidth="1"/>
    <col min="4" max="4" width="13.28515625" customWidth="1"/>
    <col min="5" max="5" width="12.5703125" customWidth="1"/>
    <col min="6" max="6" width="12.85546875" customWidth="1"/>
    <col min="7" max="7" width="13.140625" style="2" customWidth="1"/>
    <col min="8" max="8" width="37.42578125" customWidth="1"/>
  </cols>
  <sheetData>
    <row r="1" spans="1:8">
      <c r="A1" s="3" t="s">
        <v>6</v>
      </c>
      <c r="B1" s="3" t="s">
        <v>0</v>
      </c>
      <c r="C1" s="3" t="s">
        <v>7</v>
      </c>
      <c r="D1" s="3" t="s">
        <v>8</v>
      </c>
      <c r="E1" s="3" t="s">
        <v>9</v>
      </c>
      <c r="F1" s="3" t="s">
        <v>10</v>
      </c>
      <c r="G1" s="6" t="s">
        <v>15</v>
      </c>
    </row>
    <row r="2" spans="1:8">
      <c r="A2" s="5">
        <v>40435</v>
      </c>
      <c r="B2" s="7" t="s">
        <v>2</v>
      </c>
      <c r="C2" s="8">
        <v>10</v>
      </c>
      <c r="D2" s="8">
        <v>108000</v>
      </c>
      <c r="E2" s="8">
        <f>D2/192000</f>
        <v>0.5625</v>
      </c>
      <c r="F2" s="8">
        <f>C2/E2</f>
        <v>17.777777777777779</v>
      </c>
      <c r="G2" s="7">
        <f>(F2+F3+F4)/3</f>
        <v>22.427350427350429</v>
      </c>
    </row>
    <row r="3" spans="1:8">
      <c r="A3" s="2"/>
      <c r="B3" s="7"/>
      <c r="C3" s="8">
        <v>7</v>
      </c>
      <c r="D3" s="8">
        <v>54000</v>
      </c>
      <c r="E3" s="8">
        <f t="shared" ref="E3:E16" si="0">D3/192000</f>
        <v>0.28125</v>
      </c>
      <c r="F3" s="8">
        <f t="shared" ref="F3:F16" si="1">C3/E3</f>
        <v>24.888888888888889</v>
      </c>
      <c r="G3" s="7"/>
    </row>
    <row r="4" spans="1:8">
      <c r="A4" s="2"/>
      <c r="B4" s="7"/>
      <c r="C4" s="8">
        <v>5</v>
      </c>
      <c r="D4" s="8">
        <v>39000</v>
      </c>
      <c r="E4" s="8">
        <f t="shared" si="0"/>
        <v>0.203125</v>
      </c>
      <c r="F4" s="8">
        <f t="shared" si="1"/>
        <v>24.615384615384617</v>
      </c>
      <c r="G4" s="7"/>
    </row>
    <row r="5" spans="1:8">
      <c r="A5" s="2"/>
      <c r="B5" s="2" t="s">
        <v>3</v>
      </c>
      <c r="C5" s="1">
        <v>24</v>
      </c>
      <c r="D5" s="1">
        <v>28000</v>
      </c>
      <c r="E5" s="1">
        <f t="shared" si="0"/>
        <v>0.14583333333333334</v>
      </c>
      <c r="F5" s="1">
        <f t="shared" si="1"/>
        <v>164.57142857142856</v>
      </c>
      <c r="G5" s="2">
        <f>(F6+F5+F7)/3</f>
        <v>120.80586080586079</v>
      </c>
    </row>
    <row r="6" spans="1:8">
      <c r="A6" s="2"/>
      <c r="B6" s="2"/>
      <c r="C6" s="1">
        <v>28</v>
      </c>
      <c r="D6" s="1">
        <v>39000</v>
      </c>
      <c r="E6" s="1">
        <f t="shared" si="0"/>
        <v>0.203125</v>
      </c>
      <c r="F6" s="1">
        <f t="shared" si="1"/>
        <v>137.84615384615384</v>
      </c>
    </row>
    <row r="7" spans="1:8">
      <c r="A7" s="2"/>
      <c r="B7" s="2"/>
      <c r="C7" s="1">
        <v>15</v>
      </c>
      <c r="D7" s="1">
        <v>48000</v>
      </c>
      <c r="E7" s="1">
        <f t="shared" si="0"/>
        <v>0.25</v>
      </c>
      <c r="F7" s="1">
        <f t="shared" si="1"/>
        <v>60</v>
      </c>
    </row>
    <row r="8" spans="1:8">
      <c r="A8" s="2"/>
      <c r="B8" s="9" t="s">
        <v>11</v>
      </c>
      <c r="C8" s="10">
        <v>5</v>
      </c>
      <c r="D8" s="10">
        <v>16000</v>
      </c>
      <c r="E8" s="10">
        <f t="shared" si="0"/>
        <v>8.3333333333333329E-2</v>
      </c>
      <c r="F8" s="10">
        <f t="shared" si="1"/>
        <v>60</v>
      </c>
      <c r="G8" s="9">
        <f>F8</f>
        <v>60</v>
      </c>
    </row>
    <row r="9" spans="1:8">
      <c r="A9" s="2"/>
      <c r="B9" s="2" t="s">
        <v>12</v>
      </c>
      <c r="C9" s="1">
        <v>4</v>
      </c>
      <c r="D9" s="1">
        <v>38000</v>
      </c>
      <c r="E9" s="1">
        <f t="shared" si="0"/>
        <v>0.19791666666666666</v>
      </c>
      <c r="F9" s="1">
        <f t="shared" si="1"/>
        <v>20.210526315789476</v>
      </c>
      <c r="G9" s="2">
        <f>F9</f>
        <v>20.210526315789476</v>
      </c>
    </row>
    <row r="10" spans="1:8">
      <c r="A10" s="2"/>
      <c r="B10" s="9" t="s">
        <v>13</v>
      </c>
      <c r="C10" s="10">
        <v>3</v>
      </c>
      <c r="D10" s="10">
        <v>12000</v>
      </c>
      <c r="E10" s="10">
        <f t="shared" si="0"/>
        <v>6.25E-2</v>
      </c>
      <c r="F10" s="10">
        <f t="shared" si="1"/>
        <v>48</v>
      </c>
      <c r="G10" s="9">
        <f>(F10+F11)/2</f>
        <v>86.4</v>
      </c>
    </row>
    <row r="11" spans="1:8">
      <c r="A11" s="2"/>
      <c r="B11" s="9"/>
      <c r="C11" s="10">
        <v>26</v>
      </c>
      <c r="D11" s="10">
        <v>40000</v>
      </c>
      <c r="E11" s="10">
        <f t="shared" si="0"/>
        <v>0.20833333333333334</v>
      </c>
      <c r="F11" s="10">
        <f t="shared" si="1"/>
        <v>124.8</v>
      </c>
      <c r="G11" s="9"/>
    </row>
    <row r="12" spans="1:8">
      <c r="A12" s="2"/>
      <c r="B12" s="2" t="s">
        <v>14</v>
      </c>
      <c r="C12" s="1">
        <v>3</v>
      </c>
      <c r="D12" s="1">
        <v>23000</v>
      </c>
      <c r="E12" s="1">
        <f t="shared" si="0"/>
        <v>0.11979166666666667</v>
      </c>
      <c r="F12" s="1">
        <f t="shared" si="1"/>
        <v>25.043478260869563</v>
      </c>
      <c r="G12" s="2">
        <f>(F13+F12)/2</f>
        <v>24.521739130434781</v>
      </c>
    </row>
    <row r="13" spans="1:8">
      <c r="A13" s="2"/>
      <c r="B13" s="2"/>
      <c r="C13" s="1">
        <v>3</v>
      </c>
      <c r="D13" s="1">
        <v>24000</v>
      </c>
      <c r="E13" s="1">
        <f t="shared" si="0"/>
        <v>0.125</v>
      </c>
      <c r="F13" s="1">
        <f t="shared" si="1"/>
        <v>24</v>
      </c>
    </row>
    <row r="14" spans="1:8">
      <c r="A14" s="2"/>
      <c r="B14" s="9" t="s">
        <v>16</v>
      </c>
      <c r="C14" s="10">
        <v>15</v>
      </c>
      <c r="D14" s="10">
        <v>130000</v>
      </c>
      <c r="E14" s="10">
        <f t="shared" si="0"/>
        <v>0.67708333333333337</v>
      </c>
      <c r="F14" s="10">
        <f t="shared" si="1"/>
        <v>22.153846153846153</v>
      </c>
      <c r="G14" s="9">
        <f>F14</f>
        <v>22.153846153846153</v>
      </c>
    </row>
    <row r="15" spans="1:8">
      <c r="A15" s="2"/>
      <c r="B15" s="2" t="s">
        <v>17</v>
      </c>
      <c r="C15" s="1">
        <v>7</v>
      </c>
      <c r="D15" s="1">
        <v>44000</v>
      </c>
      <c r="E15" s="1">
        <f t="shared" si="0"/>
        <v>0.22916666666666666</v>
      </c>
      <c r="F15" s="1">
        <f t="shared" si="1"/>
        <v>30.545454545454547</v>
      </c>
    </row>
    <row r="16" spans="1:8">
      <c r="A16" s="2"/>
      <c r="B16" s="2"/>
      <c r="C16" s="1">
        <v>17</v>
      </c>
      <c r="D16" s="1">
        <v>178000</v>
      </c>
      <c r="E16" s="1">
        <f t="shared" si="0"/>
        <v>0.92708333333333337</v>
      </c>
      <c r="F16" s="1">
        <f t="shared" si="1"/>
        <v>18.337078651685392</v>
      </c>
      <c r="H16" t="s">
        <v>18</v>
      </c>
    </row>
    <row r="17" spans="1:7" ht="15.75" thickBot="1">
      <c r="A17" s="2"/>
      <c r="B17" s="2"/>
      <c r="C17" s="1"/>
      <c r="D17" s="1"/>
      <c r="E17" s="1"/>
      <c r="F17" s="1"/>
    </row>
    <row r="18" spans="1:7" s="2" customFormat="1" ht="15.75" thickBot="1">
      <c r="A18" s="11">
        <v>40437</v>
      </c>
      <c r="B18" s="12" t="s">
        <v>0</v>
      </c>
      <c r="C18" s="12" t="s">
        <v>19</v>
      </c>
      <c r="D18" s="12" t="s">
        <v>8</v>
      </c>
      <c r="E18" s="12" t="s">
        <v>9</v>
      </c>
      <c r="F18" s="12" t="s">
        <v>10</v>
      </c>
      <c r="G18" s="12" t="s">
        <v>15</v>
      </c>
    </row>
    <row r="19" spans="1:7">
      <c r="A19" s="2"/>
      <c r="B19" s="13" t="s">
        <v>20</v>
      </c>
      <c r="C19" s="14">
        <v>90</v>
      </c>
      <c r="D19" s="14">
        <v>84000</v>
      </c>
      <c r="E19" s="14">
        <f>D19/192000</f>
        <v>0.4375</v>
      </c>
      <c r="F19" s="14">
        <f>C19/E19</f>
        <v>205.71428571428572</v>
      </c>
      <c r="G19" s="13">
        <f>(F19+F20+F21+F22+F23)/5</f>
        <v>67.500653926983034</v>
      </c>
    </row>
    <row r="20" spans="1:7">
      <c r="A20" s="2"/>
      <c r="B20" s="13"/>
      <c r="C20" s="14">
        <v>10</v>
      </c>
      <c r="D20" s="14">
        <v>74000</v>
      </c>
      <c r="E20" s="14">
        <f t="shared" ref="E20:E35" si="2">D20/192000</f>
        <v>0.38541666666666669</v>
      </c>
      <c r="F20" s="14">
        <f t="shared" ref="F20:F35" si="3">C20/E20</f>
        <v>25.945945945945944</v>
      </c>
      <c r="G20" s="13"/>
    </row>
    <row r="21" spans="1:7">
      <c r="A21" s="2"/>
      <c r="B21" s="13"/>
      <c r="C21" s="14">
        <v>8</v>
      </c>
      <c r="D21" s="14">
        <v>79000</v>
      </c>
      <c r="E21" s="14">
        <f t="shared" si="2"/>
        <v>0.41145833333333331</v>
      </c>
      <c r="F21" s="14">
        <f t="shared" si="3"/>
        <v>19.443037974683545</v>
      </c>
      <c r="G21" s="13"/>
    </row>
    <row r="22" spans="1:7">
      <c r="A22" s="2"/>
      <c r="B22" s="13"/>
      <c r="C22" s="14">
        <v>14</v>
      </c>
      <c r="D22" s="14">
        <v>70000</v>
      </c>
      <c r="E22" s="14">
        <f t="shared" si="2"/>
        <v>0.36458333333333331</v>
      </c>
      <c r="F22" s="14">
        <f t="shared" si="3"/>
        <v>38.4</v>
      </c>
      <c r="G22" s="13"/>
    </row>
    <row r="23" spans="1:7">
      <c r="A23" s="2"/>
      <c r="B23" s="13"/>
      <c r="C23" s="14">
        <v>20</v>
      </c>
      <c r="D23" s="14">
        <v>80000</v>
      </c>
      <c r="E23" s="14">
        <f t="shared" si="2"/>
        <v>0.41666666666666669</v>
      </c>
      <c r="F23" s="14">
        <f t="shared" si="3"/>
        <v>48</v>
      </c>
      <c r="G23" s="13"/>
    </row>
    <row r="24" spans="1:7">
      <c r="A24" s="2"/>
      <c r="B24" s="2"/>
      <c r="C24" s="1"/>
      <c r="D24" s="1"/>
      <c r="E24" s="1">
        <f t="shared" si="2"/>
        <v>0</v>
      </c>
      <c r="F24" s="1" t="e">
        <f t="shared" si="3"/>
        <v>#DIV/0!</v>
      </c>
    </row>
    <row r="25" spans="1:7">
      <c r="A25" s="2"/>
      <c r="B25" s="2"/>
      <c r="C25" s="1"/>
      <c r="D25" s="1"/>
      <c r="E25" s="1">
        <f t="shared" si="2"/>
        <v>0</v>
      </c>
      <c r="F25" s="1" t="e">
        <f t="shared" si="3"/>
        <v>#DIV/0!</v>
      </c>
    </row>
    <row r="26" spans="1:7">
      <c r="E26" s="1">
        <f t="shared" si="2"/>
        <v>0</v>
      </c>
      <c r="F26" s="1" t="e">
        <f t="shared" si="3"/>
        <v>#DIV/0!</v>
      </c>
    </row>
    <row r="27" spans="1:7">
      <c r="E27" s="1">
        <f t="shared" si="2"/>
        <v>0</v>
      </c>
      <c r="F27" s="1" t="e">
        <f t="shared" si="3"/>
        <v>#DIV/0!</v>
      </c>
    </row>
    <row r="28" spans="1:7">
      <c r="E28" s="1">
        <f t="shared" si="2"/>
        <v>0</v>
      </c>
      <c r="F28" s="1" t="e">
        <f t="shared" si="3"/>
        <v>#DIV/0!</v>
      </c>
    </row>
    <row r="29" spans="1:7">
      <c r="E29" s="1">
        <f t="shared" si="2"/>
        <v>0</v>
      </c>
      <c r="F29" s="1" t="e">
        <f t="shared" si="3"/>
        <v>#DIV/0!</v>
      </c>
    </row>
    <row r="30" spans="1:7">
      <c r="E30" s="1">
        <f t="shared" si="2"/>
        <v>0</v>
      </c>
      <c r="F30" s="1" t="e">
        <f t="shared" si="3"/>
        <v>#DIV/0!</v>
      </c>
    </row>
    <row r="31" spans="1:7">
      <c r="E31" s="1">
        <f t="shared" si="2"/>
        <v>0</v>
      </c>
      <c r="F31" s="1" t="e">
        <f t="shared" si="3"/>
        <v>#DIV/0!</v>
      </c>
    </row>
    <row r="32" spans="1:7">
      <c r="E32" s="1">
        <f t="shared" si="2"/>
        <v>0</v>
      </c>
      <c r="F32" s="1" t="e">
        <f t="shared" si="3"/>
        <v>#DIV/0!</v>
      </c>
    </row>
    <row r="33" spans="5:6">
      <c r="E33" s="1">
        <f t="shared" si="2"/>
        <v>0</v>
      </c>
      <c r="F33" s="1" t="e">
        <f t="shared" si="3"/>
        <v>#DIV/0!</v>
      </c>
    </row>
    <row r="34" spans="5:6">
      <c r="E34" s="1">
        <f t="shared" si="2"/>
        <v>0</v>
      </c>
      <c r="F34" s="1" t="e">
        <f t="shared" si="3"/>
        <v>#DIV/0!</v>
      </c>
    </row>
    <row r="35" spans="5:6">
      <c r="E35" s="1">
        <f t="shared" si="2"/>
        <v>0</v>
      </c>
      <c r="F35" s="1" t="e">
        <f t="shared" si="3"/>
        <v>#DIV/0!</v>
      </c>
    </row>
  </sheetData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Hana</cp:lastModifiedBy>
  <dcterms:created xsi:type="dcterms:W3CDTF">2010-09-16T05:51:05Z</dcterms:created>
  <dcterms:modified xsi:type="dcterms:W3CDTF">2010-10-24T06:41:50Z</dcterms:modified>
</cp:coreProperties>
</file>