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calcChain.xml" ContentType="application/vnd.openxmlformats-officedocument.spreadsheetml.calcChain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40" yWindow="-340" windowWidth="27060" windowHeight="15580" tabRatio="500" activeTab="5"/>
  </bookViews>
  <sheets>
    <sheet name="Tides" sheetId="2" r:id="rId1"/>
    <sheet name="Snug Harbor" sheetId="1" r:id="rId2"/>
    <sheet name="Westcott + Garrison Bay" sheetId="3" r:id="rId3"/>
    <sheet name="North Jones" sheetId="4" r:id="rId4"/>
    <sheet name="Ried" sheetId="5" r:id="rId5"/>
    <sheet name="Graphs" sheetId="6" r:id="rId6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2" i="6"/>
  <c r="C3"/>
  <c r="C5"/>
  <c r="C4"/>
  <c r="B2"/>
  <c r="B3"/>
  <c r="B5"/>
  <c r="B4"/>
  <c r="D2"/>
  <c r="D3"/>
  <c r="D5"/>
  <c r="D4"/>
  <c r="D10"/>
  <c r="B10"/>
  <c r="B11"/>
  <c r="B13"/>
  <c r="B12"/>
  <c r="C10"/>
  <c r="C11"/>
  <c r="C13"/>
  <c r="C12"/>
  <c r="D11"/>
  <c r="D13"/>
  <c r="D12"/>
  <c r="G11" i="4"/>
  <c r="H11"/>
  <c r="I11"/>
  <c r="A18"/>
  <c r="A19"/>
  <c r="A20"/>
  <c r="B7"/>
  <c r="B18"/>
  <c r="C18"/>
  <c r="B19"/>
  <c r="C19"/>
  <c r="B20"/>
  <c r="C20"/>
  <c r="D18"/>
  <c r="J11"/>
  <c r="H15"/>
  <c r="I15"/>
  <c r="B8"/>
  <c r="J15"/>
  <c r="B14"/>
  <c r="C14"/>
  <c r="D14"/>
  <c r="G3"/>
  <c r="H3"/>
  <c r="I3"/>
  <c r="B5"/>
  <c r="J3"/>
  <c r="B9"/>
  <c r="G7"/>
  <c r="H7"/>
  <c r="B12"/>
  <c r="C12"/>
  <c r="D12"/>
  <c r="E13"/>
  <c r="A24"/>
  <c r="B24"/>
  <c r="C24"/>
  <c r="B6"/>
  <c r="D24"/>
  <c r="B27"/>
  <c r="B13"/>
  <c r="C13"/>
  <c r="D13"/>
  <c r="D26"/>
  <c r="J17"/>
  <c r="J6"/>
  <c r="G11" i="5"/>
  <c r="H11"/>
  <c r="I11"/>
  <c r="A18"/>
  <c r="A19"/>
  <c r="A20"/>
  <c r="A21"/>
  <c r="A22"/>
  <c r="A23"/>
  <c r="A24"/>
  <c r="A25"/>
  <c r="A26"/>
  <c r="A27"/>
  <c r="A28"/>
  <c r="A29"/>
  <c r="A30"/>
  <c r="B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D18"/>
  <c r="J11"/>
  <c r="H15"/>
  <c r="I15"/>
  <c r="B8"/>
  <c r="J15"/>
  <c r="B14"/>
  <c r="C14"/>
  <c r="D14"/>
  <c r="A34"/>
  <c r="B34"/>
  <c r="C34"/>
  <c r="B6"/>
  <c r="D34"/>
  <c r="B37"/>
  <c r="B13"/>
  <c r="C13"/>
  <c r="D13"/>
  <c r="G3"/>
  <c r="H3"/>
  <c r="I3"/>
  <c r="B5"/>
  <c r="J3"/>
  <c r="B9"/>
  <c r="G7"/>
  <c r="H7"/>
  <c r="B12"/>
  <c r="C12"/>
  <c r="D12"/>
  <c r="E13"/>
  <c r="D36"/>
  <c r="J17"/>
  <c r="J6"/>
  <c r="E2" i="1"/>
  <c r="G3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B18"/>
  <c r="A18"/>
  <c r="C18"/>
  <c r="B19"/>
  <c r="A19"/>
  <c r="C19"/>
  <c r="B20"/>
  <c r="A20"/>
  <c r="C20"/>
  <c r="B21"/>
  <c r="A21"/>
  <c r="C21"/>
  <c r="B22"/>
  <c r="A22"/>
  <c r="C22"/>
  <c r="D18"/>
  <c r="J2"/>
  <c r="G15"/>
  <c r="H15"/>
  <c r="B12"/>
  <c r="C12"/>
  <c r="D12"/>
  <c r="G19"/>
  <c r="H19"/>
  <c r="I19"/>
  <c r="G20"/>
  <c r="H20"/>
  <c r="I20"/>
  <c r="G21"/>
  <c r="H21"/>
  <c r="I21"/>
  <c r="G22"/>
  <c r="H22"/>
  <c r="I22"/>
  <c r="G23"/>
  <c r="H23"/>
  <c r="I23"/>
  <c r="G24"/>
  <c r="H24"/>
  <c r="I24"/>
  <c r="G25"/>
  <c r="H25"/>
  <c r="I25"/>
  <c r="G26"/>
  <c r="H26"/>
  <c r="I26"/>
  <c r="G27"/>
  <c r="H27"/>
  <c r="I27"/>
  <c r="J19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J31"/>
  <c r="B14"/>
  <c r="C14"/>
  <c r="D14"/>
  <c r="E13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D27"/>
  <c r="B39"/>
  <c r="B13"/>
  <c r="C13"/>
  <c r="D13"/>
  <c r="D38"/>
  <c r="J41"/>
  <c r="J14"/>
  <c r="L6" i="2"/>
  <c r="L7"/>
  <c r="L8"/>
  <c r="L9"/>
  <c r="L10"/>
  <c r="L11"/>
  <c r="L12"/>
  <c r="L13"/>
  <c r="L14"/>
  <c r="L15"/>
  <c r="L16"/>
  <c r="L17"/>
  <c r="L18"/>
  <c r="L20"/>
  <c r="L21"/>
  <c r="L22"/>
  <c r="L23"/>
  <c r="L24"/>
  <c r="M5"/>
  <c r="N5"/>
  <c r="B14"/>
  <c r="A5"/>
  <c r="E2" i="3"/>
  <c r="G3"/>
  <c r="H3"/>
  <c r="I3"/>
  <c r="G4"/>
  <c r="H4"/>
  <c r="I4"/>
  <c r="G5"/>
  <c r="H5"/>
  <c r="I5"/>
  <c r="G6"/>
  <c r="H6"/>
  <c r="I6"/>
  <c r="G7"/>
  <c r="H7"/>
  <c r="I7"/>
  <c r="G8"/>
  <c r="H8"/>
  <c r="I8"/>
  <c r="G9"/>
  <c r="H9"/>
  <c r="I9"/>
  <c r="G10"/>
  <c r="H10"/>
  <c r="I10"/>
  <c r="G11"/>
  <c r="H11"/>
  <c r="I11"/>
  <c r="G12"/>
  <c r="H12"/>
  <c r="I12"/>
  <c r="G13"/>
  <c r="H13"/>
  <c r="I13"/>
  <c r="G14"/>
  <c r="H14"/>
  <c r="I14"/>
  <c r="G15"/>
  <c r="H15"/>
  <c r="I15"/>
  <c r="G16"/>
  <c r="H16"/>
  <c r="I16"/>
  <c r="G17"/>
  <c r="H17"/>
  <c r="I17"/>
  <c r="G18"/>
  <c r="H18"/>
  <c r="I18"/>
  <c r="G19"/>
  <c r="H19"/>
  <c r="I19"/>
  <c r="G20"/>
  <c r="H20"/>
  <c r="I20"/>
  <c r="G21"/>
  <c r="H21"/>
  <c r="I21"/>
  <c r="G22"/>
  <c r="H22"/>
  <c r="I22"/>
  <c r="B18"/>
  <c r="A18"/>
  <c r="C18"/>
  <c r="B19"/>
  <c r="A19"/>
  <c r="C19"/>
  <c r="B20"/>
  <c r="A20"/>
  <c r="C20"/>
  <c r="B21"/>
  <c r="A21"/>
  <c r="C21"/>
  <c r="B22"/>
  <c r="A22"/>
  <c r="C22"/>
  <c r="B23"/>
  <c r="A23"/>
  <c r="C23"/>
  <c r="B24"/>
  <c r="A24"/>
  <c r="C24"/>
  <c r="B25"/>
  <c r="A25"/>
  <c r="C25"/>
  <c r="B26"/>
  <c r="A26"/>
  <c r="C26"/>
  <c r="B27"/>
  <c r="A27"/>
  <c r="C27"/>
  <c r="B28"/>
  <c r="A28"/>
  <c r="C28"/>
  <c r="B29"/>
  <c r="A29"/>
  <c r="C29"/>
  <c r="B30"/>
  <c r="A30"/>
  <c r="C30"/>
  <c r="B31"/>
  <c r="A31"/>
  <c r="C31"/>
  <c r="B32"/>
  <c r="A32"/>
  <c r="C32"/>
  <c r="D18"/>
  <c r="J2"/>
  <c r="G26"/>
  <c r="H26"/>
  <c r="B12"/>
  <c r="C12"/>
  <c r="D12"/>
  <c r="G30"/>
  <c r="H30"/>
  <c r="I30"/>
  <c r="G31"/>
  <c r="H31"/>
  <c r="I31"/>
  <c r="G32"/>
  <c r="H32"/>
  <c r="I32"/>
  <c r="G33"/>
  <c r="H33"/>
  <c r="I33"/>
  <c r="G34"/>
  <c r="H34"/>
  <c r="I34"/>
  <c r="G35"/>
  <c r="H35"/>
  <c r="I35"/>
  <c r="G36"/>
  <c r="H36"/>
  <c r="I36"/>
  <c r="G37"/>
  <c r="H37"/>
  <c r="I37"/>
  <c r="G38"/>
  <c r="H38"/>
  <c r="I38"/>
  <c r="G39"/>
  <c r="H39"/>
  <c r="I39"/>
  <c r="G40"/>
  <c r="H40"/>
  <c r="I40"/>
  <c r="G41"/>
  <c r="H41"/>
  <c r="I41"/>
  <c r="G42"/>
  <c r="H42"/>
  <c r="I42"/>
  <c r="G43"/>
  <c r="H43"/>
  <c r="I43"/>
  <c r="G44"/>
  <c r="H44"/>
  <c r="I44"/>
  <c r="G45"/>
  <c r="H45"/>
  <c r="I45"/>
  <c r="G46"/>
  <c r="H46"/>
  <c r="I46"/>
  <c r="G47"/>
  <c r="H47"/>
  <c r="I47"/>
  <c r="G48"/>
  <c r="H48"/>
  <c r="I48"/>
  <c r="G49"/>
  <c r="H49"/>
  <c r="I49"/>
  <c r="J29"/>
  <c r="G53"/>
  <c r="H53"/>
  <c r="I53"/>
  <c r="G54"/>
  <c r="H54"/>
  <c r="I54"/>
  <c r="G55"/>
  <c r="H55"/>
  <c r="I55"/>
  <c r="G56"/>
  <c r="H56"/>
  <c r="I56"/>
  <c r="G57"/>
  <c r="H57"/>
  <c r="I57"/>
  <c r="G58"/>
  <c r="H58"/>
  <c r="I58"/>
  <c r="G59"/>
  <c r="H59"/>
  <c r="I59"/>
  <c r="G60"/>
  <c r="H60"/>
  <c r="I60"/>
  <c r="G61"/>
  <c r="H61"/>
  <c r="I61"/>
  <c r="G62"/>
  <c r="H62"/>
  <c r="I62"/>
  <c r="G63"/>
  <c r="H63"/>
  <c r="I63"/>
  <c r="G64"/>
  <c r="H64"/>
  <c r="I64"/>
  <c r="G65"/>
  <c r="H65"/>
  <c r="I65"/>
  <c r="G66"/>
  <c r="H66"/>
  <c r="I66"/>
  <c r="G67"/>
  <c r="H67"/>
  <c r="I67"/>
  <c r="G68"/>
  <c r="H68"/>
  <c r="I68"/>
  <c r="G69"/>
  <c r="H69"/>
  <c r="I69"/>
  <c r="G70"/>
  <c r="H70"/>
  <c r="I70"/>
  <c r="G71"/>
  <c r="H71"/>
  <c r="I71"/>
  <c r="G72"/>
  <c r="H72"/>
  <c r="I72"/>
  <c r="J52"/>
  <c r="B14"/>
  <c r="C14"/>
  <c r="D14"/>
  <c r="E13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D36"/>
  <c r="B59"/>
  <c r="B13"/>
  <c r="C13"/>
  <c r="D13"/>
  <c r="J74"/>
  <c r="J25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D58"/>
</calcChain>
</file>

<file path=xl/sharedStrings.xml><?xml version="1.0" encoding="utf-8"?>
<sst xmlns="http://schemas.openxmlformats.org/spreadsheetml/2006/main" count="246" uniqueCount="89">
  <si>
    <t>Volume Absent (m^3)</t>
    <phoneticPr fontId="1" type="noConversion"/>
  </si>
  <si>
    <t>% Leaving</t>
    <phoneticPr fontId="1" type="noConversion"/>
  </si>
  <si>
    <t>3.6 foot high tide</t>
    <phoneticPr fontId="1" type="noConversion"/>
  </si>
  <si>
    <t>Conversions</t>
  </si>
  <si>
    <t>at 1mm</t>
  </si>
  <si>
    <t>Millameter</t>
  </si>
  <si>
    <t>Meter</t>
  </si>
  <si>
    <t>Foot</t>
  </si>
  <si>
    <t>Tide Hight (feet)</t>
    <phoneticPr fontId="1" type="noConversion"/>
  </si>
  <si>
    <t>Tide Hight (meters)</t>
    <phoneticPr fontId="1" type="noConversion"/>
  </si>
  <si>
    <t>High and low tide</t>
    <phoneticPr fontId="1" type="noConversion"/>
  </si>
  <si>
    <t>Tidal Exchange ( 12hr cycle)</t>
    <phoneticPr fontId="1" type="noConversion"/>
  </si>
  <si>
    <t>0-8</t>
    <phoneticPr fontId="1" type="noConversion"/>
  </si>
  <si>
    <t>Tidal Exchange (24 hr cycle)</t>
    <phoneticPr fontId="1" type="noConversion"/>
  </si>
  <si>
    <t>Surfactant use</t>
    <phoneticPr fontId="1" type="noConversion"/>
  </si>
  <si>
    <t>ML</t>
    <phoneticPr fontId="1" type="noConversion"/>
  </si>
  <si>
    <t>Day</t>
    <phoneticPr fontId="1" type="noConversion"/>
  </si>
  <si>
    <t>High Tide Difference</t>
    <phoneticPr fontId="1" type="noConversion"/>
  </si>
  <si>
    <t>Medium Tide Difference</t>
    <phoneticPr fontId="1" type="noConversion"/>
  </si>
  <si>
    <t>Low Tide Difference</t>
    <phoneticPr fontId="1" type="noConversion"/>
  </si>
  <si>
    <t>Westcott &amp; Garrison Bay</t>
    <phoneticPr fontId="1" type="noConversion"/>
  </si>
  <si>
    <t>North Jones</t>
    <phoneticPr fontId="1" type="noConversion"/>
  </si>
  <si>
    <t>% exchanged</t>
    <phoneticPr fontId="1" type="noConversion"/>
  </si>
  <si>
    <t># of days till total tidal exchange</t>
    <phoneticPr fontId="1" type="noConversion"/>
  </si>
  <si>
    <t>Michel Bay</t>
    <phoneticPr fontId="1" type="noConversion"/>
  </si>
  <si>
    <t>Michel Bay</t>
    <phoneticPr fontId="1" type="noConversion"/>
  </si>
  <si>
    <t>Reid Harbor</t>
    <phoneticPr fontId="1" type="noConversion"/>
  </si>
  <si>
    <t>Reid Harbor</t>
    <phoneticPr fontId="1" type="noConversion"/>
  </si>
  <si>
    <t>Amount used</t>
    <phoneticPr fontId="1" type="noConversion"/>
  </si>
  <si>
    <t>Total Used</t>
    <phoneticPr fontId="1" type="noConversion"/>
  </si>
  <si>
    <t>Average per day</t>
    <phoneticPr fontId="1" type="noConversion"/>
  </si>
  <si>
    <t># of days to flush</t>
    <phoneticPr fontId="1" type="noConversion"/>
  </si>
  <si>
    <t>3.6-7.2</t>
    <phoneticPr fontId="1" type="noConversion"/>
  </si>
  <si>
    <t>minus 3.2-9.2</t>
    <phoneticPr fontId="1" type="noConversion"/>
  </si>
  <si>
    <t>Tidal Height (meters)</t>
    <phoneticPr fontId="1" type="noConversion"/>
  </si>
  <si>
    <t>Tidal Height (feet)</t>
    <phoneticPr fontId="1" type="noConversion"/>
  </si>
  <si>
    <t>Tide cycle</t>
    <phoneticPr fontId="1" type="noConversion"/>
  </si>
  <si>
    <t>Big</t>
    <phoneticPr fontId="1" type="noConversion"/>
  </si>
  <si>
    <t>Little</t>
    <phoneticPr fontId="1" type="noConversion"/>
  </si>
  <si>
    <t>Medium</t>
    <phoneticPr fontId="1" type="noConversion"/>
  </si>
  <si>
    <t>n2.5-8.9</t>
    <phoneticPr fontId="1" type="noConversion"/>
  </si>
  <si>
    <t>1_9</t>
    <phoneticPr fontId="1" type="noConversion"/>
  </si>
  <si>
    <t>2.2_8</t>
    <phoneticPr fontId="1" type="noConversion"/>
  </si>
  <si>
    <t>3.3_7.9</t>
    <phoneticPr fontId="1" type="noConversion"/>
  </si>
  <si>
    <t>1.5_8</t>
    <phoneticPr fontId="1" type="noConversion"/>
  </si>
  <si>
    <t>0_8</t>
    <phoneticPr fontId="1" type="noConversion"/>
  </si>
  <si>
    <t>2.5_8.5</t>
    <phoneticPr fontId="1" type="noConversion"/>
  </si>
  <si>
    <t>1.5_7.5</t>
    <phoneticPr fontId="1" type="noConversion"/>
  </si>
  <si>
    <t>2.6_7.5</t>
    <phoneticPr fontId="1" type="noConversion"/>
  </si>
  <si>
    <t>3.5_7.5</t>
    <phoneticPr fontId="1" type="noConversion"/>
  </si>
  <si>
    <t>2_8</t>
    <phoneticPr fontId="1" type="noConversion"/>
  </si>
  <si>
    <t>2.5_7</t>
    <phoneticPr fontId="1" type="noConversion"/>
  </si>
  <si>
    <t>3.2_7</t>
    <phoneticPr fontId="1" type="noConversion"/>
  </si>
  <si>
    <t>3.2_6.8</t>
    <phoneticPr fontId="1" type="noConversion"/>
  </si>
  <si>
    <t>3.6_7.2</t>
    <phoneticPr fontId="1" type="noConversion"/>
  </si>
  <si>
    <t>n3.2-8.9</t>
    <phoneticPr fontId="1" type="noConversion"/>
  </si>
  <si>
    <t>1.8_6.2</t>
    <phoneticPr fontId="1" type="noConversion"/>
  </si>
  <si>
    <t>2.5_6.5</t>
    <phoneticPr fontId="1" type="noConversion"/>
  </si>
  <si>
    <t>2_7 2.9_7.2</t>
    <phoneticPr fontId="1" type="noConversion"/>
  </si>
  <si>
    <t>n3.2_9.2</t>
    <phoneticPr fontId="1" type="noConversion"/>
  </si>
  <si>
    <t>mean</t>
    <phoneticPr fontId="1" type="noConversion"/>
  </si>
  <si>
    <t>9.2 foot high tide</t>
    <phoneticPr fontId="1" type="noConversion"/>
  </si>
  <si>
    <t>minus 3.2 tide</t>
    <phoneticPr fontId="1" type="noConversion"/>
  </si>
  <si>
    <t>% leaving</t>
    <phoneticPr fontId="1" type="noConversion"/>
  </si>
  <si>
    <t>7.2 foot high tide</t>
    <phoneticPr fontId="1" type="noConversion"/>
  </si>
  <si>
    <t>3.6 tide</t>
    <phoneticPr fontId="1" type="noConversion"/>
  </si>
  <si>
    <t>Total Volume (m^3)</t>
    <phoneticPr fontId="1" type="noConversion"/>
  </si>
  <si>
    <t>% leaving</t>
    <phoneticPr fontId="1" type="noConversion"/>
  </si>
  <si>
    <t>8 foot high tide</t>
    <phoneticPr fontId="1" type="noConversion"/>
  </si>
  <si>
    <t>San Juan Islands Crusing Atlass</t>
    <phoneticPr fontId="1" type="noConversion"/>
  </si>
  <si>
    <t>Using traces of islands and boxes to estimate areas that will fill from the 0 tide zones that are on the map.</t>
    <phoneticPr fontId="1" type="noConversion"/>
  </si>
  <si>
    <t>Snug 11</t>
    <phoneticPr fontId="1" type="noConversion"/>
  </si>
  <si>
    <t>W+G 10</t>
    <phoneticPr fontId="1" type="noConversion"/>
  </si>
  <si>
    <t>N Jones 15</t>
    <phoneticPr fontId="1" type="noConversion"/>
  </si>
  <si>
    <t>Parks ? 16</t>
    <phoneticPr fontId="1" type="noConversion"/>
  </si>
  <si>
    <t>reid 9</t>
    <phoneticPr fontId="1" type="noConversion"/>
  </si>
  <si>
    <t>Conversions</t>
    <phoneticPr fontId="1" type="noConversion"/>
  </si>
  <si>
    <t>Millameter</t>
    <phoneticPr fontId="1" type="noConversion"/>
  </si>
  <si>
    <t>Meter</t>
    <phoneticPr fontId="1" type="noConversion"/>
  </si>
  <si>
    <t>Foot</t>
    <phoneticPr fontId="1" type="noConversion"/>
  </si>
  <si>
    <t>Mudd Depth (m)</t>
    <phoneticPr fontId="1" type="noConversion"/>
  </si>
  <si>
    <t>Mudd Area (m^2)</t>
    <phoneticPr fontId="1" type="noConversion"/>
  </si>
  <si>
    <t>Mudd Volume (m^3)</t>
    <phoneticPr fontId="1" type="noConversion"/>
  </si>
  <si>
    <t>Water Area (m^2)</t>
    <phoneticPr fontId="1" type="noConversion"/>
  </si>
  <si>
    <t>Water Depth (m)</t>
    <phoneticPr fontId="1" type="noConversion"/>
  </si>
  <si>
    <t>Water Volume (m^3)</t>
    <phoneticPr fontId="1" type="noConversion"/>
  </si>
  <si>
    <t>at 1mm</t>
    <phoneticPr fontId="1" type="noConversion"/>
  </si>
  <si>
    <t>0 foot tide</t>
    <phoneticPr fontId="1" type="noConversion"/>
  </si>
  <si>
    <t>Total Volume (m^3)</t>
    <phoneticPr fontId="1" type="noConversion"/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</si>
</sst>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0"/>
      <name val="Verdana"/>
    </font>
    <font>
      <sz val="8"/>
      <name val="Verdana"/>
    </font>
    <font>
      <sz val="10"/>
      <color indexed="10"/>
      <name val="Verdana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164" fontId="0" fillId="0" borderId="0" xfId="0" applyNumberFormat="1"/>
    <xf numFmtId="0" fontId="0" fillId="0" borderId="0" xfId="0" applyNumberFormat="1"/>
    <xf numFmtId="0" fontId="0" fillId="2" borderId="0" xfId="0" applyNumberFormat="1" applyFill="1"/>
    <xf numFmtId="0" fontId="0" fillId="0" borderId="0" xfId="0" applyNumberFormat="1" applyFill="1"/>
    <xf numFmtId="16" fontId="0" fillId="2" borderId="0" xfId="0" applyNumberFormat="1" applyFill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0" xfId="0" applyNumberFormat="1"/>
    <xf numFmtId="164" fontId="0" fillId="0" borderId="1" xfId="0" applyNumberFormat="1" applyBorder="1"/>
    <xf numFmtId="164" fontId="0" fillId="0" borderId="0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0" fontId="0" fillId="0" borderId="0" xfId="0" applyBorder="1"/>
    <xf numFmtId="0" fontId="0" fillId="0" borderId="3" xfId="0" applyBorder="1"/>
    <xf numFmtId="164" fontId="0" fillId="0" borderId="1" xfId="0" applyNumberFormat="1" applyFill="1" applyBorder="1"/>
    <xf numFmtId="164" fontId="0" fillId="0" borderId="1" xfId="0" applyNumberFormat="1" applyBorder="1"/>
    <xf numFmtId="164" fontId="0" fillId="0" borderId="6" xfId="0" applyNumberFormat="1" applyFill="1" applyBorder="1"/>
    <xf numFmtId="0" fontId="0" fillId="0" borderId="2" xfId="0" applyBorder="1"/>
    <xf numFmtId="0" fontId="0" fillId="0" borderId="1" xfId="0" applyBorder="1"/>
    <xf numFmtId="164" fontId="0" fillId="0" borderId="3" xfId="0" applyNumberFormat="1" applyFill="1" applyBorder="1"/>
    <xf numFmtId="0" fontId="0" fillId="0" borderId="5" xfId="0" applyBorder="1"/>
    <xf numFmtId="164" fontId="0" fillId="0" borderId="0" xfId="0" applyNumberFormat="1"/>
    <xf numFmtId="2" fontId="0" fillId="0" borderId="7" xfId="0" applyNumberFormat="1" applyBorder="1"/>
    <xf numFmtId="2" fontId="0" fillId="0" borderId="8" xfId="0" applyNumberFormat="1" applyBorder="1"/>
    <xf numFmtId="2" fontId="0" fillId="0" borderId="0" xfId="0" applyNumberFormat="1"/>
    <xf numFmtId="2" fontId="0" fillId="0" borderId="2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0" xfId="0" applyNumberFormat="1" applyBorder="1"/>
    <xf numFmtId="2" fontId="0" fillId="0" borderId="6" xfId="0" applyNumberFormat="1" applyBorder="1"/>
    <xf numFmtId="2" fontId="0" fillId="0" borderId="1" xfId="0" applyNumberFormat="1" applyBorder="1"/>
    <xf numFmtId="2" fontId="0" fillId="0" borderId="3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0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Fill="1" applyBorder="1"/>
    <xf numFmtId="164" fontId="0" fillId="0" borderId="1" xfId="0" applyNumberFormat="1" applyFill="1" applyBorder="1"/>
    <xf numFmtId="164" fontId="0" fillId="0" borderId="3" xfId="0" applyNumberFormat="1" applyFill="1" applyBorder="1"/>
    <xf numFmtId="16" fontId="0" fillId="0" borderId="0" xfId="0" applyNumberFormat="1"/>
    <xf numFmtId="0" fontId="2" fillId="0" borderId="0" xfId="0" applyFont="1"/>
    <xf numFmtId="16" fontId="2" fillId="0" borderId="0" xfId="0" applyNumberFormat="1" applyFont="1"/>
    <xf numFmtId="1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Percent of Bay Volume Leaving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Graphs!$A$2</c:f>
              <c:strCache>
                <c:ptCount val="1"/>
                <c:pt idx="0">
                  <c:v>Michel Bay</c:v>
                </c:pt>
              </c:strCache>
            </c:strRef>
          </c:tx>
          <c:dLbls>
            <c:showVal val="1"/>
          </c:dLbls>
          <c:cat>
            <c:strRef>
              <c:f>Graphs!$B$1:$D$1</c:f>
              <c:strCache>
                <c:ptCount val="3"/>
                <c:pt idx="0">
                  <c:v>High Tide Difference</c:v>
                </c:pt>
                <c:pt idx="1">
                  <c:v>Medium Tide Difference</c:v>
                </c:pt>
                <c:pt idx="2">
                  <c:v>Low Tide Difference</c:v>
                </c:pt>
              </c:strCache>
            </c:strRef>
          </c:cat>
          <c:val>
            <c:numRef>
              <c:f>Graphs!$B$2:$D$2</c:f>
              <c:numCache>
                <c:formatCode>0</c:formatCode>
                <c:ptCount val="3"/>
                <c:pt idx="0">
                  <c:v>82.2165429638116</c:v>
                </c:pt>
                <c:pt idx="1">
                  <c:v>63.45747704465082</c:v>
                </c:pt>
                <c:pt idx="2">
                  <c:v>30.4907294331731</c:v>
                </c:pt>
              </c:numCache>
            </c:numRef>
          </c:val>
        </c:ser>
        <c:ser>
          <c:idx val="1"/>
          <c:order val="1"/>
          <c:tx>
            <c:strRef>
              <c:f>Graphs!$A$3</c:f>
              <c:strCache>
                <c:ptCount val="1"/>
                <c:pt idx="0">
                  <c:v>Westcott &amp; Garrison Bay</c:v>
                </c:pt>
              </c:strCache>
            </c:strRef>
          </c:tx>
          <c:dLbls>
            <c:showVal val="1"/>
          </c:dLbls>
          <c:val>
            <c:numRef>
              <c:f>Graphs!$B$3:$D$3</c:f>
              <c:numCache>
                <c:formatCode>0</c:formatCode>
                <c:ptCount val="3"/>
                <c:pt idx="0">
                  <c:v>65.9426678807144</c:v>
                </c:pt>
                <c:pt idx="1">
                  <c:v>46.08337746604334</c:v>
                </c:pt>
                <c:pt idx="2">
                  <c:v>22.24365724433639</c:v>
                </c:pt>
              </c:numCache>
            </c:numRef>
          </c:val>
        </c:ser>
        <c:ser>
          <c:idx val="3"/>
          <c:order val="2"/>
          <c:tx>
            <c:strRef>
              <c:f>Graphs!$A$4</c:f>
              <c:strCache>
                <c:ptCount val="1"/>
                <c:pt idx="0">
                  <c:v>Reid Harbor</c:v>
                </c:pt>
              </c:strCache>
            </c:strRef>
          </c:tx>
          <c:dLbls>
            <c:showVal val="1"/>
          </c:dLbls>
          <c:val>
            <c:numRef>
              <c:f>Graphs!$B$4:$D$4</c:f>
              <c:numCache>
                <c:formatCode>0</c:formatCode>
                <c:ptCount val="3"/>
                <c:pt idx="0">
                  <c:v>44.35287901930488</c:v>
                </c:pt>
                <c:pt idx="1">
                  <c:v>30.029946913022</c:v>
                </c:pt>
                <c:pt idx="2">
                  <c:v>13.87431344770139</c:v>
                </c:pt>
              </c:numCache>
            </c:numRef>
          </c:val>
        </c:ser>
        <c:ser>
          <c:idx val="2"/>
          <c:order val="3"/>
          <c:tx>
            <c:strRef>
              <c:f>Graphs!$A$5</c:f>
              <c:strCache>
                <c:ptCount val="1"/>
                <c:pt idx="0">
                  <c:v>North Jones</c:v>
                </c:pt>
              </c:strCache>
            </c:strRef>
          </c:tx>
          <c:dLbls>
            <c:showVal val="1"/>
          </c:dLbls>
          <c:val>
            <c:numRef>
              <c:f>Graphs!$B$5:$D$5</c:f>
              <c:numCache>
                <c:formatCode>0</c:formatCode>
                <c:ptCount val="3"/>
                <c:pt idx="0">
                  <c:v>36.43776777252337</c:v>
                </c:pt>
                <c:pt idx="1">
                  <c:v>24.67351310086958</c:v>
                </c:pt>
                <c:pt idx="2">
                  <c:v>11.38396326207802</c:v>
                </c:pt>
              </c:numCache>
            </c:numRef>
          </c:val>
        </c:ser>
        <c:axId val="567103064"/>
        <c:axId val="567106264"/>
      </c:barChart>
      <c:catAx>
        <c:axId val="567103064"/>
        <c:scaling>
          <c:orientation val="minMax"/>
        </c:scaling>
        <c:axPos val="b"/>
        <c:tickLblPos val="nextTo"/>
        <c:crossAx val="567106264"/>
        <c:crosses val="autoZero"/>
        <c:auto val="1"/>
        <c:lblAlgn val="ctr"/>
        <c:lblOffset val="100"/>
      </c:catAx>
      <c:valAx>
        <c:axId val="56710626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/>
        </c:title>
        <c:numFmt formatCode="0" sourceLinked="0"/>
        <c:tickLblPos val="nextTo"/>
        <c:crossAx val="567103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Number of Days to Bay Flush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Graphs!$A$10</c:f>
              <c:strCache>
                <c:ptCount val="1"/>
                <c:pt idx="0">
                  <c:v>Michel Bay</c:v>
                </c:pt>
              </c:strCache>
            </c:strRef>
          </c:tx>
          <c:dLbls>
            <c:showVal val="1"/>
          </c:dLbls>
          <c:cat>
            <c:strRef>
              <c:f>Graphs!$B$9:$D$9</c:f>
              <c:strCache>
                <c:ptCount val="3"/>
                <c:pt idx="0">
                  <c:v>High Tide Difference</c:v>
                </c:pt>
                <c:pt idx="1">
                  <c:v>Medium Tide Difference</c:v>
                </c:pt>
                <c:pt idx="2">
                  <c:v>Low Tide Difference</c:v>
                </c:pt>
              </c:strCache>
            </c:strRef>
          </c:cat>
          <c:val>
            <c:numRef>
              <c:f>Graphs!$B$10:$D$10</c:f>
              <c:numCache>
                <c:formatCode>0.0</c:formatCode>
                <c:ptCount val="3"/>
                <c:pt idx="0">
                  <c:v>0.608150114290356</c:v>
                </c:pt>
                <c:pt idx="1">
                  <c:v>0.78792921383903</c:v>
                </c:pt>
                <c:pt idx="2">
                  <c:v>1.639842697420066</c:v>
                </c:pt>
              </c:numCache>
            </c:numRef>
          </c:val>
        </c:ser>
        <c:ser>
          <c:idx val="1"/>
          <c:order val="1"/>
          <c:tx>
            <c:strRef>
              <c:f>Graphs!$A$11</c:f>
              <c:strCache>
                <c:ptCount val="1"/>
                <c:pt idx="0">
                  <c:v>Westcott &amp; Garrison Bay</c:v>
                </c:pt>
              </c:strCache>
            </c:strRef>
          </c:tx>
          <c:dLbls>
            <c:showVal val="1"/>
          </c:dLbls>
          <c:val>
            <c:numRef>
              <c:f>Graphs!$B$11:$D$11</c:f>
              <c:numCache>
                <c:formatCode>0.0</c:formatCode>
                <c:ptCount val="3"/>
                <c:pt idx="0">
                  <c:v>0.7582344119053</c:v>
                </c:pt>
                <c:pt idx="1">
                  <c:v>1.084989919344402</c:v>
                </c:pt>
                <c:pt idx="2">
                  <c:v>2.247831795409042</c:v>
                </c:pt>
              </c:numCache>
            </c:numRef>
          </c:val>
        </c:ser>
        <c:ser>
          <c:idx val="2"/>
          <c:order val="2"/>
          <c:tx>
            <c:strRef>
              <c:f>Graphs!$A$12</c:f>
              <c:strCache>
                <c:ptCount val="1"/>
                <c:pt idx="0">
                  <c:v>North Jones</c:v>
                </c:pt>
              </c:strCache>
            </c:strRef>
          </c:tx>
          <c:dLbls>
            <c:showVal val="1"/>
          </c:dLbls>
          <c:val>
            <c:numRef>
              <c:f>Graphs!$B$12:$D$12</c:f>
              <c:numCache>
                <c:formatCode>0.0</c:formatCode>
                <c:ptCount val="3"/>
                <c:pt idx="0">
                  <c:v>1.127322534761208</c:v>
                </c:pt>
                <c:pt idx="1">
                  <c:v>1.665004608393707</c:v>
                </c:pt>
                <c:pt idx="2">
                  <c:v>3.603781923226168</c:v>
                </c:pt>
              </c:numCache>
            </c:numRef>
          </c:val>
        </c:ser>
        <c:ser>
          <c:idx val="3"/>
          <c:order val="3"/>
          <c:tx>
            <c:strRef>
              <c:f>Graphs!$A$13</c:f>
              <c:strCache>
                <c:ptCount val="1"/>
                <c:pt idx="0">
                  <c:v>Reid Harbor</c:v>
                </c:pt>
              </c:strCache>
            </c:strRef>
          </c:tx>
          <c:dLbls>
            <c:showVal val="1"/>
          </c:dLbls>
          <c:val>
            <c:numRef>
              <c:f>Graphs!$B$13:$D$13</c:f>
              <c:numCache>
                <c:formatCode>0.0</c:formatCode>
                <c:ptCount val="3"/>
                <c:pt idx="0">
                  <c:v>1.372202608901402</c:v>
                </c:pt>
                <c:pt idx="1">
                  <c:v>2.026464565284699</c:v>
                </c:pt>
                <c:pt idx="2">
                  <c:v>4.392143478410439</c:v>
                </c:pt>
              </c:numCache>
            </c:numRef>
          </c:val>
        </c:ser>
        <c:axId val="567186984"/>
        <c:axId val="567190184"/>
      </c:barChart>
      <c:catAx>
        <c:axId val="567186984"/>
        <c:scaling>
          <c:orientation val="minMax"/>
        </c:scaling>
        <c:axPos val="b"/>
        <c:tickLblPos val="nextTo"/>
        <c:crossAx val="567190184"/>
        <c:crosses val="autoZero"/>
        <c:auto val="1"/>
        <c:lblAlgn val="ctr"/>
        <c:lblOffset val="100"/>
      </c:catAx>
      <c:valAx>
        <c:axId val="5671901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layout/>
        </c:title>
        <c:numFmt formatCode="0.0" sourceLinked="1"/>
        <c:tickLblPos val="nextTo"/>
        <c:crossAx val="5671869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0</xdr:row>
      <xdr:rowOff>12700</xdr:rowOff>
    </xdr:from>
    <xdr:to>
      <xdr:col>12</xdr:col>
      <xdr:colOff>723900</xdr:colOff>
      <xdr:row>26</xdr:row>
      <xdr:rowOff>101600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1130300</xdr:colOff>
      <xdr:row>17</xdr:row>
      <xdr:rowOff>50800</xdr:rowOff>
    </xdr:from>
    <xdr:to>
      <xdr:col>5</xdr:col>
      <xdr:colOff>419100</xdr:colOff>
      <xdr:row>53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37"/>
  <sheetViews>
    <sheetView workbookViewId="0">
      <selection activeCell="N6" sqref="N6"/>
    </sheetView>
  </sheetViews>
  <sheetFormatPr baseColWidth="10" defaultRowHeight="13"/>
  <cols>
    <col min="14" max="14" width="12.85546875" customWidth="1"/>
  </cols>
  <sheetData>
    <row r="1" spans="1:14">
      <c r="A1" s="2" t="s">
        <v>37</v>
      </c>
      <c r="B1" s="2" t="s">
        <v>38</v>
      </c>
      <c r="C1" s="2" t="s">
        <v>39</v>
      </c>
      <c r="D1" s="2"/>
      <c r="E1" s="2"/>
      <c r="F1" s="2"/>
    </row>
    <row r="2" spans="1:14">
      <c r="A2" s="2" t="s">
        <v>40</v>
      </c>
      <c r="B2" s="2" t="s">
        <v>42</v>
      </c>
      <c r="C2" s="5" t="s">
        <v>41</v>
      </c>
      <c r="D2" s="2"/>
      <c r="E2" s="2"/>
      <c r="F2" s="2"/>
    </row>
    <row r="3" spans="1:14">
      <c r="A3" s="2" t="s">
        <v>55</v>
      </c>
      <c r="B3" s="2" t="s">
        <v>43</v>
      </c>
      <c r="C3" t="s">
        <v>44</v>
      </c>
      <c r="D3" s="2"/>
      <c r="E3" s="2"/>
      <c r="F3" s="2"/>
      <c r="J3" t="s">
        <v>14</v>
      </c>
    </row>
    <row r="4" spans="1:14">
      <c r="A4" s="3" t="s">
        <v>59</v>
      </c>
      <c r="B4" s="2" t="s">
        <v>48</v>
      </c>
      <c r="C4" s="3" t="s">
        <v>45</v>
      </c>
      <c r="D4" s="2"/>
      <c r="E4" s="2"/>
      <c r="F4" s="2"/>
      <c r="J4" t="s">
        <v>16</v>
      </c>
      <c r="K4" t="s">
        <v>15</v>
      </c>
      <c r="L4" t="s">
        <v>28</v>
      </c>
      <c r="M4" t="s">
        <v>29</v>
      </c>
      <c r="N4" t="s">
        <v>30</v>
      </c>
    </row>
    <row r="5" spans="1:14">
      <c r="A5" s="2">
        <f>9.2--3.2</f>
        <v>12.399999999999999</v>
      </c>
      <c r="B5" s="2" t="s">
        <v>49</v>
      </c>
      <c r="C5" s="4" t="s">
        <v>46</v>
      </c>
      <c r="D5" s="2"/>
      <c r="E5" s="2"/>
      <c r="F5" s="2"/>
      <c r="J5" s="61">
        <v>38836</v>
      </c>
      <c r="K5">
        <v>150</v>
      </c>
      <c r="L5">
        <v>0</v>
      </c>
      <c r="M5">
        <f>SUM(L5:L24)</f>
        <v>245</v>
      </c>
      <c r="N5">
        <f>M5/31</f>
        <v>7.903225806451613</v>
      </c>
    </row>
    <row r="6" spans="1:14">
      <c r="A6" s="2"/>
      <c r="B6" s="2" t="s">
        <v>50</v>
      </c>
      <c r="C6" s="4" t="s">
        <v>47</v>
      </c>
      <c r="D6" s="2"/>
      <c r="E6" s="2"/>
      <c r="F6" s="2"/>
      <c r="J6" s="61">
        <v>38837</v>
      </c>
      <c r="K6">
        <v>140</v>
      </c>
      <c r="L6">
        <f>K5-K6</f>
        <v>10</v>
      </c>
    </row>
    <row r="7" spans="1:14">
      <c r="A7" s="2"/>
      <c r="B7" s="2" t="s">
        <v>51</v>
      </c>
      <c r="C7" s="4" t="s">
        <v>50</v>
      </c>
      <c r="D7" s="2"/>
      <c r="E7" s="2"/>
      <c r="F7" s="2"/>
      <c r="J7" s="61">
        <v>38838</v>
      </c>
      <c r="K7">
        <v>130</v>
      </c>
      <c r="L7">
        <f>K6-K7</f>
        <v>10</v>
      </c>
    </row>
    <row r="8" spans="1:14">
      <c r="A8" s="2"/>
      <c r="B8" s="2" t="s">
        <v>58</v>
      </c>
      <c r="C8" s="2">
        <v>8</v>
      </c>
      <c r="D8" s="2" t="s">
        <v>60</v>
      </c>
      <c r="E8" s="2"/>
      <c r="F8" s="2"/>
      <c r="J8" s="61">
        <v>38839</v>
      </c>
      <c r="K8">
        <v>120</v>
      </c>
      <c r="L8">
        <f t="shared" ref="L8:L18" si="0">K7-K8</f>
        <v>10</v>
      </c>
    </row>
    <row r="9" spans="1:14">
      <c r="A9" s="2"/>
      <c r="B9" s="2" t="s">
        <v>52</v>
      </c>
      <c r="C9" s="2"/>
      <c r="D9" s="2"/>
      <c r="E9" s="2"/>
      <c r="F9" s="2"/>
      <c r="J9" s="61">
        <v>38840</v>
      </c>
      <c r="K9">
        <v>110</v>
      </c>
      <c r="L9">
        <f t="shared" si="0"/>
        <v>10</v>
      </c>
    </row>
    <row r="10" spans="1:14">
      <c r="A10" s="2"/>
      <c r="B10" s="2" t="s">
        <v>53</v>
      </c>
      <c r="C10" s="2"/>
      <c r="D10" s="2"/>
      <c r="E10" s="2"/>
      <c r="F10" s="2"/>
      <c r="J10" s="61">
        <v>38841</v>
      </c>
      <c r="K10">
        <v>100</v>
      </c>
      <c r="L10">
        <f t="shared" si="0"/>
        <v>10</v>
      </c>
    </row>
    <row r="11" spans="1:14">
      <c r="A11" s="2"/>
      <c r="B11" s="3" t="s">
        <v>54</v>
      </c>
      <c r="C11" s="2"/>
      <c r="D11" s="2"/>
      <c r="E11" s="2"/>
      <c r="F11" s="2"/>
      <c r="J11" s="61">
        <v>38842</v>
      </c>
      <c r="K11">
        <v>90</v>
      </c>
      <c r="L11">
        <f t="shared" si="0"/>
        <v>10</v>
      </c>
    </row>
    <row r="12" spans="1:14">
      <c r="A12" s="2"/>
      <c r="B12" s="2" t="s">
        <v>56</v>
      </c>
      <c r="C12" s="2"/>
      <c r="D12" s="2"/>
      <c r="E12" s="2"/>
      <c r="F12" s="2"/>
      <c r="J12" s="61">
        <v>38843</v>
      </c>
      <c r="K12">
        <v>80</v>
      </c>
      <c r="L12">
        <f t="shared" si="0"/>
        <v>10</v>
      </c>
    </row>
    <row r="13" spans="1:14">
      <c r="A13" s="2"/>
      <c r="B13" s="2" t="s">
        <v>57</v>
      </c>
      <c r="C13" s="2"/>
      <c r="D13" s="2"/>
      <c r="E13" s="2"/>
      <c r="F13" s="2"/>
      <c r="J13" s="61">
        <v>38844</v>
      </c>
      <c r="K13">
        <v>70</v>
      </c>
      <c r="L13">
        <f t="shared" si="0"/>
        <v>10</v>
      </c>
    </row>
    <row r="14" spans="1:14">
      <c r="A14" s="2"/>
      <c r="B14" s="2">
        <f>7.2-3.6</f>
        <v>3.6</v>
      </c>
      <c r="C14" s="2"/>
      <c r="D14" s="2"/>
      <c r="E14" s="2"/>
      <c r="F14" s="2"/>
      <c r="J14" s="61">
        <v>38845</v>
      </c>
      <c r="K14">
        <v>70</v>
      </c>
      <c r="L14">
        <f t="shared" si="0"/>
        <v>0</v>
      </c>
    </row>
    <row r="15" spans="1:14">
      <c r="A15" s="2"/>
      <c r="B15" s="2"/>
      <c r="C15" s="2"/>
      <c r="D15" s="2"/>
      <c r="E15" s="2"/>
      <c r="F15" s="2"/>
      <c r="J15" s="61">
        <v>38846</v>
      </c>
      <c r="K15">
        <v>50</v>
      </c>
      <c r="L15">
        <f t="shared" si="0"/>
        <v>20</v>
      </c>
    </row>
    <row r="16" spans="1:14">
      <c r="A16" s="2"/>
      <c r="B16" s="2"/>
      <c r="C16" s="2"/>
      <c r="D16" s="2"/>
      <c r="E16" s="2"/>
      <c r="F16" s="2"/>
      <c r="J16" s="61">
        <v>38847</v>
      </c>
      <c r="K16">
        <v>50</v>
      </c>
      <c r="L16">
        <f t="shared" si="0"/>
        <v>0</v>
      </c>
    </row>
    <row r="17" spans="1:12">
      <c r="A17" s="2"/>
      <c r="B17" s="2"/>
      <c r="C17" s="2"/>
      <c r="D17" s="2"/>
      <c r="E17" s="2"/>
      <c r="F17" s="2"/>
      <c r="J17" s="63">
        <v>38848</v>
      </c>
      <c r="K17">
        <v>50</v>
      </c>
      <c r="L17">
        <f t="shared" si="0"/>
        <v>0</v>
      </c>
    </row>
    <row r="18" spans="1:12">
      <c r="A18" s="2"/>
      <c r="B18" s="2"/>
      <c r="C18" s="2"/>
      <c r="D18" s="2"/>
      <c r="E18" s="2"/>
      <c r="F18" s="2"/>
      <c r="J18" s="61">
        <v>38852</v>
      </c>
      <c r="K18">
        <v>50</v>
      </c>
      <c r="L18">
        <f t="shared" si="0"/>
        <v>0</v>
      </c>
    </row>
    <row r="19" spans="1:12">
      <c r="A19" s="2"/>
      <c r="B19" s="2"/>
      <c r="C19" s="2"/>
      <c r="D19" s="2"/>
      <c r="E19" s="2"/>
      <c r="F19" s="2"/>
      <c r="J19" s="61">
        <v>38853</v>
      </c>
      <c r="K19" s="62">
        <v>365</v>
      </c>
      <c r="L19">
        <v>0</v>
      </c>
    </row>
    <row r="20" spans="1:12">
      <c r="A20" s="2"/>
      <c r="B20" s="2"/>
      <c r="C20" s="2"/>
      <c r="D20" s="2"/>
      <c r="E20" s="2"/>
      <c r="F20" s="2"/>
      <c r="J20" s="61">
        <v>38854</v>
      </c>
      <c r="K20">
        <v>350</v>
      </c>
      <c r="L20">
        <f>K19-K20</f>
        <v>15</v>
      </c>
    </row>
    <row r="21" spans="1:12">
      <c r="A21" s="2"/>
      <c r="B21" s="2"/>
      <c r="C21" s="2"/>
      <c r="D21" s="2"/>
      <c r="E21" s="2"/>
      <c r="F21" s="2"/>
      <c r="J21" s="61">
        <v>38856</v>
      </c>
      <c r="K21">
        <v>340</v>
      </c>
      <c r="L21">
        <f>K20-K21</f>
        <v>10</v>
      </c>
    </row>
    <row r="22" spans="1:12">
      <c r="A22" s="2"/>
      <c r="B22" s="2" t="s">
        <v>69</v>
      </c>
      <c r="C22" s="2"/>
      <c r="D22" s="2"/>
      <c r="E22" s="2"/>
      <c r="F22" s="2"/>
      <c r="J22" s="61">
        <v>38857</v>
      </c>
      <c r="K22">
        <v>330</v>
      </c>
      <c r="L22">
        <f t="shared" ref="L22:L24" si="1">K21-K22</f>
        <v>10</v>
      </c>
    </row>
    <row r="23" spans="1:12">
      <c r="A23" s="2"/>
      <c r="B23" s="2" t="s">
        <v>70</v>
      </c>
      <c r="C23" s="2"/>
      <c r="D23" s="2"/>
      <c r="E23" s="2"/>
      <c r="F23" s="2"/>
      <c r="J23" s="61">
        <v>38863</v>
      </c>
      <c r="K23">
        <v>250</v>
      </c>
      <c r="L23">
        <f t="shared" si="1"/>
        <v>80</v>
      </c>
    </row>
    <row r="24" spans="1:12">
      <c r="A24" s="2"/>
      <c r="B24" s="2"/>
      <c r="C24" s="2"/>
      <c r="D24" s="2"/>
      <c r="E24" s="2"/>
      <c r="F24" s="2"/>
      <c r="J24" s="61">
        <v>38866</v>
      </c>
      <c r="K24">
        <v>220</v>
      </c>
      <c r="L24">
        <f t="shared" si="1"/>
        <v>30</v>
      </c>
    </row>
    <row r="25" spans="1:12">
      <c r="A25" s="2"/>
      <c r="B25" s="2"/>
      <c r="C25" s="2"/>
      <c r="D25" s="2"/>
      <c r="E25" s="2"/>
      <c r="F25" s="2"/>
    </row>
    <row r="26" spans="1:12">
      <c r="A26" s="2"/>
      <c r="B26" s="2" t="s">
        <v>71</v>
      </c>
      <c r="C26" s="2"/>
      <c r="D26" s="2"/>
      <c r="E26" s="2"/>
      <c r="F26" s="2"/>
    </row>
    <row r="27" spans="1:12">
      <c r="A27" s="2"/>
      <c r="B27" s="2" t="s">
        <v>72</v>
      </c>
      <c r="C27" s="2"/>
      <c r="D27" s="2"/>
      <c r="E27" s="2"/>
      <c r="F27" s="2"/>
    </row>
    <row r="28" spans="1:12">
      <c r="A28" s="2"/>
      <c r="B28" s="2" t="s">
        <v>73</v>
      </c>
      <c r="C28" s="2"/>
      <c r="D28" s="2"/>
      <c r="E28" s="2"/>
      <c r="F28" s="2"/>
    </row>
    <row r="29" spans="1:12">
      <c r="A29" s="2"/>
      <c r="B29" s="2" t="s">
        <v>74</v>
      </c>
      <c r="C29" s="2"/>
      <c r="D29" s="2"/>
      <c r="E29" s="2"/>
      <c r="F29" s="2"/>
    </row>
    <row r="30" spans="1:12">
      <c r="A30" s="2"/>
      <c r="B30" s="2" t="s">
        <v>75</v>
      </c>
      <c r="C30" s="2"/>
      <c r="D30" s="2"/>
      <c r="E30" s="2"/>
      <c r="F30" s="2"/>
    </row>
    <row r="31" spans="1:12">
      <c r="A31" s="2"/>
      <c r="B31" s="2"/>
      <c r="C31" s="2"/>
      <c r="D31" s="2"/>
      <c r="E31" s="2"/>
      <c r="F31" s="2"/>
    </row>
    <row r="32" spans="1:12">
      <c r="A32" s="2"/>
      <c r="B32" s="2"/>
      <c r="C32" s="2"/>
      <c r="D32" s="2"/>
      <c r="E32" s="2"/>
      <c r="F32" s="2"/>
    </row>
    <row r="33" spans="1:6">
      <c r="A33" s="2"/>
      <c r="B33" s="2"/>
      <c r="C33" s="2"/>
      <c r="D33" s="2"/>
      <c r="E33" s="2"/>
      <c r="F33" s="2"/>
    </row>
    <row r="34" spans="1:6">
      <c r="A34" s="2"/>
      <c r="B34" s="2"/>
      <c r="C34" s="2"/>
      <c r="D34" s="2"/>
      <c r="E34" s="2"/>
      <c r="F34" s="2"/>
    </row>
    <row r="35" spans="1:6">
      <c r="A35" s="2"/>
      <c r="B35" s="2"/>
      <c r="C35" s="2"/>
      <c r="D35" s="2"/>
      <c r="E35" s="2"/>
      <c r="F35" s="2"/>
    </row>
    <row r="36" spans="1:6">
      <c r="A36" s="2"/>
      <c r="B36" s="2"/>
      <c r="C36" s="2"/>
      <c r="D36" s="2"/>
      <c r="E36" s="2"/>
      <c r="F36" s="2"/>
    </row>
    <row r="37" spans="1:6">
      <c r="A37" s="2"/>
      <c r="B37" s="2"/>
      <c r="C37" s="2"/>
      <c r="D37" s="2"/>
      <c r="E37" s="2"/>
      <c r="F37" s="2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1"/>
  <sheetViews>
    <sheetView workbookViewId="0">
      <selection activeCell="J32" sqref="J32"/>
    </sheetView>
  </sheetViews>
  <sheetFormatPr baseColWidth="10" defaultRowHeight="13"/>
  <cols>
    <col min="1" max="1" width="17.28515625" style="1" customWidth="1"/>
    <col min="2" max="3" width="16.5703125" style="1" customWidth="1"/>
    <col min="4" max="4" width="15.85546875" style="1" customWidth="1"/>
    <col min="5" max="5" width="15.7109375" style="1" customWidth="1"/>
    <col min="6" max="6" width="10.5703125" style="1" customWidth="1"/>
    <col min="7" max="7" width="17.42578125" style="1" customWidth="1"/>
    <col min="8" max="8" width="15.5703125" style="1" customWidth="1"/>
    <col min="9" max="9" width="16" style="1" customWidth="1"/>
    <col min="10" max="10" width="15.85546875" style="1" customWidth="1"/>
    <col min="11" max="16384" width="10.7109375" style="1"/>
  </cols>
  <sheetData>
    <row r="1" spans="1:10">
      <c r="A1" s="6" t="s">
        <v>76</v>
      </c>
      <c r="B1" s="7"/>
      <c r="C1" s="7"/>
      <c r="D1" s="7"/>
      <c r="E1" s="8" t="s">
        <v>86</v>
      </c>
      <c r="G1" s="6" t="s">
        <v>61</v>
      </c>
      <c r="H1" s="7"/>
      <c r="I1" s="7"/>
      <c r="J1" s="8" t="s">
        <v>88</v>
      </c>
    </row>
    <row r="2" spans="1:10">
      <c r="A2" s="9" t="s">
        <v>77</v>
      </c>
      <c r="B2" s="10">
        <v>3</v>
      </c>
      <c r="C2" s="10" t="s">
        <v>78</v>
      </c>
      <c r="D2" s="10">
        <v>100</v>
      </c>
      <c r="E2" s="11">
        <f>100/3</f>
        <v>33.333333333333336</v>
      </c>
      <c r="G2" s="9" t="s">
        <v>81</v>
      </c>
      <c r="H2" s="10" t="s">
        <v>80</v>
      </c>
      <c r="I2" s="10" t="s">
        <v>82</v>
      </c>
      <c r="J2" s="11">
        <f>SUM(I3:I11)+$D$18+(SUM(A18:A22)*B5)</f>
        <v>66441.463572041597</v>
      </c>
    </row>
    <row r="3" spans="1:10">
      <c r="A3" s="12" t="s">
        <v>79</v>
      </c>
      <c r="B3" s="13">
        <v>1</v>
      </c>
      <c r="C3" s="13" t="s">
        <v>78</v>
      </c>
      <c r="D3" s="13">
        <v>0.30480000000000002</v>
      </c>
      <c r="E3" s="14"/>
      <c r="G3" s="9">
        <f>$E$2*(1*3)</f>
        <v>100</v>
      </c>
      <c r="H3" s="10">
        <f t="shared" ref="H3:H11" si="0">4.6*$D$3</f>
        <v>1.40208</v>
      </c>
      <c r="I3" s="10">
        <f>G3*H3</f>
        <v>140.208</v>
      </c>
      <c r="J3" s="11"/>
    </row>
    <row r="4" spans="1:10">
      <c r="A4" s="25" t="s">
        <v>35</v>
      </c>
      <c r="B4" s="26" t="s">
        <v>34</v>
      </c>
      <c r="G4" s="9">
        <f>$E$2*(3*3)</f>
        <v>300</v>
      </c>
      <c r="H4" s="10">
        <f t="shared" si="0"/>
        <v>1.40208</v>
      </c>
      <c r="I4" s="10">
        <f t="shared" ref="I4:I11" si="1">G4*H4</f>
        <v>420.62400000000002</v>
      </c>
      <c r="J4" s="11"/>
    </row>
    <row r="5" spans="1:10">
      <c r="A5" s="32">
        <v>9.2000000000000011</v>
      </c>
      <c r="B5" s="34">
        <v>2.80416</v>
      </c>
      <c r="G5" s="9">
        <f>$E$2*(6*3)</f>
        <v>600</v>
      </c>
      <c r="H5" s="10">
        <f t="shared" si="0"/>
        <v>1.40208</v>
      </c>
      <c r="I5" s="10">
        <f t="shared" si="1"/>
        <v>841.24800000000005</v>
      </c>
      <c r="J5" s="11"/>
    </row>
    <row r="6" spans="1:10">
      <c r="A6" s="32">
        <v>8</v>
      </c>
      <c r="B6" s="34">
        <v>2.4384000000000001</v>
      </c>
      <c r="G6" s="9">
        <f>$E$2*(10*3)</f>
        <v>1000.0000000000001</v>
      </c>
      <c r="H6" s="10">
        <f t="shared" si="0"/>
        <v>1.40208</v>
      </c>
      <c r="I6" s="10">
        <f t="shared" si="1"/>
        <v>1402.0800000000002</v>
      </c>
      <c r="J6" s="11"/>
    </row>
    <row r="7" spans="1:10">
      <c r="A7" s="35">
        <v>7.2</v>
      </c>
      <c r="B7" s="34">
        <v>2.1945600000000001</v>
      </c>
      <c r="G7" s="9">
        <f>$E$2*(19*6)</f>
        <v>3800.0000000000005</v>
      </c>
      <c r="H7" s="10">
        <f t="shared" si="0"/>
        <v>1.40208</v>
      </c>
      <c r="I7" s="10">
        <f t="shared" si="1"/>
        <v>5327.9040000000005</v>
      </c>
      <c r="J7" s="11"/>
    </row>
    <row r="8" spans="1:10">
      <c r="A8" s="35">
        <v>3.6</v>
      </c>
      <c r="B8" s="34">
        <v>1.09728</v>
      </c>
      <c r="G8" s="9">
        <f>$E$2*(11*8)</f>
        <v>2933.3333333333335</v>
      </c>
      <c r="H8" s="10">
        <f t="shared" si="0"/>
        <v>1.40208</v>
      </c>
      <c r="I8" s="10">
        <f t="shared" si="1"/>
        <v>4112.768</v>
      </c>
      <c r="J8" s="11"/>
    </row>
    <row r="9" spans="1:10">
      <c r="A9" s="28">
        <v>3.2</v>
      </c>
      <c r="B9" s="37">
        <v>0.97536</v>
      </c>
      <c r="G9" s="9">
        <f>$E$2*(10*3)</f>
        <v>1000.0000000000001</v>
      </c>
      <c r="H9" s="10">
        <f t="shared" si="0"/>
        <v>1.40208</v>
      </c>
      <c r="I9" s="10">
        <f t="shared" si="1"/>
        <v>1402.0800000000002</v>
      </c>
      <c r="J9" s="11"/>
    </row>
    <row r="10" spans="1:10">
      <c r="G10" s="9">
        <f>$E$2*(1*13)</f>
        <v>433.33333333333337</v>
      </c>
      <c r="H10" s="10">
        <f t="shared" si="0"/>
        <v>1.40208</v>
      </c>
      <c r="I10" s="10">
        <f t="shared" si="1"/>
        <v>607.5680000000001</v>
      </c>
      <c r="J10" s="11"/>
    </row>
    <row r="11" spans="1:10">
      <c r="A11" s="25" t="s">
        <v>36</v>
      </c>
      <c r="B11" s="39" t="s">
        <v>11</v>
      </c>
      <c r="C11" s="39" t="s">
        <v>13</v>
      </c>
      <c r="D11" s="40" t="s">
        <v>31</v>
      </c>
      <c r="G11" s="9">
        <f>$E$2*(0.5*(4.3*2.5))</f>
        <v>179.16666666666669</v>
      </c>
      <c r="H11" s="10">
        <f t="shared" si="0"/>
        <v>1.40208</v>
      </c>
      <c r="I11" s="10">
        <f t="shared" si="1"/>
        <v>251.20600000000002</v>
      </c>
      <c r="J11" s="11"/>
    </row>
    <row r="12" spans="1:10">
      <c r="A12" s="32" t="s">
        <v>33</v>
      </c>
      <c r="B12" s="45">
        <f>J2-H15</f>
        <v>54625.874443492823</v>
      </c>
      <c r="C12" s="45">
        <f>B12*2</f>
        <v>109251.74888698565</v>
      </c>
      <c r="D12" s="42">
        <f>J2/C12</f>
        <v>0.60815011429035604</v>
      </c>
      <c r="G12" s="9"/>
      <c r="H12" s="10"/>
      <c r="I12" s="10"/>
      <c r="J12" s="11"/>
    </row>
    <row r="13" spans="1:10">
      <c r="A13" s="32" t="s">
        <v>12</v>
      </c>
      <c r="B13" s="45">
        <f>D27-B39</f>
        <v>38497.63254418892</v>
      </c>
      <c r="C13" s="45">
        <f t="shared" ref="C13:C14" si="2">B13*2</f>
        <v>76995.265088377841</v>
      </c>
      <c r="D13" s="42">
        <f>D27/C13</f>
        <v>0.78792921383903003</v>
      </c>
      <c r="E13" s="1">
        <f>AVERAGE(D12,D14)</f>
        <v>1.1239964058552112</v>
      </c>
      <c r="G13" s="9" t="s">
        <v>62</v>
      </c>
      <c r="H13" s="10"/>
      <c r="I13" s="10"/>
      <c r="J13" s="11" t="s">
        <v>63</v>
      </c>
    </row>
    <row r="14" spans="1:10">
      <c r="A14" s="28" t="s">
        <v>32</v>
      </c>
      <c r="B14" s="43">
        <f>J19-J31</f>
        <v>17323.934644885019</v>
      </c>
      <c r="C14" s="43">
        <f t="shared" si="2"/>
        <v>34647.869289770038</v>
      </c>
      <c r="D14" s="44">
        <f>J19/C14</f>
        <v>1.6398426974200664</v>
      </c>
      <c r="G14" s="9" t="s">
        <v>0</v>
      </c>
      <c r="H14" s="10" t="s">
        <v>88</v>
      </c>
      <c r="I14" s="10"/>
      <c r="J14" s="11">
        <f>1-(H15/J2)</f>
        <v>0.82216542963811612</v>
      </c>
    </row>
    <row r="15" spans="1:10">
      <c r="G15" s="12">
        <f>B9*SUM(A18:A22)</f>
        <v>10353.597017675567</v>
      </c>
      <c r="H15" s="13">
        <f>D18-G15</f>
        <v>11815.589128548776</v>
      </c>
      <c r="I15" s="13"/>
      <c r="J15" s="14"/>
    </row>
    <row r="16" spans="1:10">
      <c r="A16" s="6" t="s">
        <v>87</v>
      </c>
      <c r="B16" s="7"/>
      <c r="C16" s="7"/>
      <c r="D16" s="8"/>
    </row>
    <row r="17" spans="1:10">
      <c r="A17" s="9" t="s">
        <v>83</v>
      </c>
      <c r="B17" s="10" t="s">
        <v>84</v>
      </c>
      <c r="C17" s="10" t="s">
        <v>85</v>
      </c>
      <c r="D17" s="11" t="s">
        <v>88</v>
      </c>
      <c r="G17" s="6" t="s">
        <v>64</v>
      </c>
      <c r="H17" s="7"/>
      <c r="I17" s="7"/>
      <c r="J17" s="8"/>
    </row>
    <row r="18" spans="1:10">
      <c r="A18" s="9">
        <f>$E$2*(PI()*(5^2))</f>
        <v>2617.9938779914946</v>
      </c>
      <c r="B18" s="10">
        <f>13*D3</f>
        <v>3.9624000000000001</v>
      </c>
      <c r="C18" s="10">
        <f>B18*A18</f>
        <v>10373.538942153498</v>
      </c>
      <c r="D18" s="11">
        <f>SUM(C18:C22)</f>
        <v>22169.186146224343</v>
      </c>
      <c r="G18" s="9" t="s">
        <v>81</v>
      </c>
      <c r="H18" s="10" t="s">
        <v>80</v>
      </c>
      <c r="I18" s="10" t="s">
        <v>82</v>
      </c>
      <c r="J18" s="11" t="s">
        <v>66</v>
      </c>
    </row>
    <row r="19" spans="1:10">
      <c r="A19" s="9">
        <f>$E$2*(PI()*(5^2))</f>
        <v>2617.9938779914946</v>
      </c>
      <c r="B19" s="10">
        <f>D3*6</f>
        <v>1.8288000000000002</v>
      </c>
      <c r="C19" s="10">
        <f t="shared" ref="C19:C22" si="3">B19*A19</f>
        <v>4787.7872040708462</v>
      </c>
      <c r="D19" s="11"/>
      <c r="G19" s="9">
        <f>$E$2*(1*3)</f>
        <v>100</v>
      </c>
      <c r="H19" s="10">
        <f>3.6*$D$3</f>
        <v>1.09728</v>
      </c>
      <c r="I19" s="10">
        <f>G19*H19</f>
        <v>109.72800000000001</v>
      </c>
      <c r="J19" s="11">
        <f>SUM(I19:I27)+$D$18+(SUM(A18:A22)*B7)</f>
        <v>56817.055435994378</v>
      </c>
    </row>
    <row r="20" spans="1:10">
      <c r="A20" s="9">
        <f>E2*(0.5*2.5*4.3)</f>
        <v>179.16666666666669</v>
      </c>
      <c r="B20" s="10">
        <f>D3*10</f>
        <v>3.048</v>
      </c>
      <c r="C20" s="10">
        <f t="shared" si="3"/>
        <v>546.1</v>
      </c>
      <c r="D20" s="11"/>
      <c r="G20" s="9">
        <f>$E$2*(3*3)</f>
        <v>300</v>
      </c>
      <c r="H20" s="10">
        <f t="shared" ref="H20:H27" si="4">3.6*$D$3</f>
        <v>1.09728</v>
      </c>
      <c r="I20" s="10">
        <f t="shared" ref="I20:I27" si="5">G20*H20</f>
        <v>329.18400000000003</v>
      </c>
      <c r="J20" s="11"/>
    </row>
    <row r="21" spans="1:10">
      <c r="A21" s="9">
        <f>E2*(15*10)</f>
        <v>5000</v>
      </c>
      <c r="B21" s="10">
        <f>D3*4</f>
        <v>1.2192000000000001</v>
      </c>
      <c r="C21" s="10">
        <f t="shared" si="3"/>
        <v>6096</v>
      </c>
      <c r="D21" s="11"/>
      <c r="G21" s="9">
        <f>$E$2*(6*3)</f>
        <v>600</v>
      </c>
      <c r="H21" s="10">
        <f t="shared" si="4"/>
        <v>1.09728</v>
      </c>
      <c r="I21" s="10">
        <f t="shared" si="5"/>
        <v>658.36800000000005</v>
      </c>
      <c r="J21" s="11"/>
    </row>
    <row r="22" spans="1:10">
      <c r="A22" s="12">
        <f>E2*(0.5*4*3)</f>
        <v>200</v>
      </c>
      <c r="B22" s="13">
        <f>D3*6</f>
        <v>1.8288000000000002</v>
      </c>
      <c r="C22" s="13">
        <f t="shared" si="3"/>
        <v>365.76000000000005</v>
      </c>
      <c r="D22" s="14"/>
      <c r="G22" s="9">
        <f>$E$2*(10*3)</f>
        <v>1000.0000000000001</v>
      </c>
      <c r="H22" s="10">
        <f t="shared" si="4"/>
        <v>1.09728</v>
      </c>
      <c r="I22" s="10">
        <f t="shared" si="5"/>
        <v>1097.2800000000002</v>
      </c>
      <c r="J22" s="11"/>
    </row>
    <row r="23" spans="1:10">
      <c r="G23" s="9">
        <f>$E$2*(19*6)</f>
        <v>3800.0000000000005</v>
      </c>
      <c r="H23" s="10">
        <f t="shared" si="4"/>
        <v>1.09728</v>
      </c>
      <c r="I23" s="10">
        <f t="shared" si="5"/>
        <v>4169.6640000000007</v>
      </c>
      <c r="J23" s="11"/>
    </row>
    <row r="24" spans="1:10">
      <c r="G24" s="9">
        <f>$E$2*(11*8)</f>
        <v>2933.3333333333335</v>
      </c>
      <c r="H24" s="10">
        <f t="shared" si="4"/>
        <v>1.09728</v>
      </c>
      <c r="I24" s="10">
        <f t="shared" si="5"/>
        <v>3218.6880000000001</v>
      </c>
      <c r="J24" s="11"/>
    </row>
    <row r="25" spans="1:10">
      <c r="A25" s="6" t="s">
        <v>68</v>
      </c>
      <c r="B25" s="7"/>
      <c r="C25" s="7"/>
      <c r="D25" s="8"/>
      <c r="G25" s="9">
        <f>$E$2*(10*3)</f>
        <v>1000.0000000000001</v>
      </c>
      <c r="H25" s="10">
        <f t="shared" si="4"/>
        <v>1.09728</v>
      </c>
      <c r="I25" s="10">
        <f t="shared" si="5"/>
        <v>1097.2800000000002</v>
      </c>
      <c r="J25" s="11"/>
    </row>
    <row r="26" spans="1:10">
      <c r="A26" s="9" t="s">
        <v>81</v>
      </c>
      <c r="B26" s="10" t="s">
        <v>80</v>
      </c>
      <c r="C26" s="10" t="s">
        <v>82</v>
      </c>
      <c r="D26" s="11" t="s">
        <v>66</v>
      </c>
      <c r="G26" s="9">
        <f>$E$2*(1*13)</f>
        <v>433.33333333333337</v>
      </c>
      <c r="H26" s="10">
        <f t="shared" si="4"/>
        <v>1.09728</v>
      </c>
      <c r="I26" s="10">
        <f t="shared" si="5"/>
        <v>475.48800000000006</v>
      </c>
      <c r="J26" s="11"/>
    </row>
    <row r="27" spans="1:10">
      <c r="A27" s="9">
        <f>$E$2*(1*3)</f>
        <v>100</v>
      </c>
      <c r="B27" s="10">
        <f>4*$D$3</f>
        <v>1.2192000000000001</v>
      </c>
      <c r="C27" s="10">
        <f>A27*B27</f>
        <v>121.92</v>
      </c>
      <c r="D27" s="11">
        <f>SUM(C27:C35)+$D$18+(SUM(A18:A22)*B6)</f>
        <v>60666.818690413267</v>
      </c>
      <c r="G27" s="9">
        <f>$E$2*(0.5*(4.3*2.5))</f>
        <v>179.16666666666669</v>
      </c>
      <c r="H27" s="10">
        <f t="shared" si="4"/>
        <v>1.09728</v>
      </c>
      <c r="I27" s="10">
        <f t="shared" si="5"/>
        <v>196.59600000000003</v>
      </c>
      <c r="J27" s="11"/>
    </row>
    <row r="28" spans="1:10">
      <c r="A28" s="9">
        <f>$E$2*(3*3)</f>
        <v>300</v>
      </c>
      <c r="B28" s="10">
        <f t="shared" ref="B28:B35" si="6">4*$D$3</f>
        <v>1.2192000000000001</v>
      </c>
      <c r="C28" s="10">
        <f t="shared" ref="C28:C35" si="7">A28*B28</f>
        <v>365.76</v>
      </c>
      <c r="D28" s="11"/>
      <c r="G28" s="9"/>
      <c r="H28" s="10"/>
      <c r="I28" s="10"/>
      <c r="J28" s="11"/>
    </row>
    <row r="29" spans="1:10">
      <c r="A29" s="9">
        <f>$E$2*(6*3)</f>
        <v>600</v>
      </c>
      <c r="B29" s="10">
        <f t="shared" si="6"/>
        <v>1.2192000000000001</v>
      </c>
      <c r="C29" s="10">
        <f t="shared" si="7"/>
        <v>731.52</v>
      </c>
      <c r="D29" s="11"/>
      <c r="E29" s="10"/>
      <c r="G29" s="9" t="s">
        <v>65</v>
      </c>
      <c r="H29" s="10"/>
      <c r="I29" s="10"/>
      <c r="J29" s="11"/>
    </row>
    <row r="30" spans="1:10">
      <c r="A30" s="9">
        <f>$E$2*(10*3)</f>
        <v>1000.0000000000001</v>
      </c>
      <c r="B30" s="10">
        <f t="shared" si="6"/>
        <v>1.2192000000000001</v>
      </c>
      <c r="C30" s="10">
        <f t="shared" si="7"/>
        <v>1219.2000000000003</v>
      </c>
      <c r="D30" s="11"/>
      <c r="E30" s="10"/>
      <c r="G30" s="9" t="s">
        <v>81</v>
      </c>
      <c r="H30" s="10" t="s">
        <v>80</v>
      </c>
      <c r="I30" s="10" t="s">
        <v>82</v>
      </c>
      <c r="J30" s="11" t="s">
        <v>66</v>
      </c>
    </row>
    <row r="31" spans="1:10">
      <c r="A31" s="9">
        <f>$E$2*(19*6)</f>
        <v>3800.0000000000005</v>
      </c>
      <c r="B31" s="10">
        <f t="shared" si="6"/>
        <v>1.2192000000000001</v>
      </c>
      <c r="C31" s="10">
        <f t="shared" si="7"/>
        <v>4632.9600000000009</v>
      </c>
      <c r="D31" s="11"/>
      <c r="E31" s="10"/>
      <c r="G31" s="9">
        <f>$E$2*(1*3)</f>
        <v>100</v>
      </c>
      <c r="H31" s="10">
        <f>1.8*$D$3</f>
        <v>0.54864000000000002</v>
      </c>
      <c r="I31" s="10">
        <f>G31*H31</f>
        <v>54.864000000000004</v>
      </c>
      <c r="J31" s="11">
        <f>SUM(I31:I39)+$D$18+(SUM(A18:A22)*B8)</f>
        <v>39493.120791109359</v>
      </c>
    </row>
    <row r="32" spans="1:10">
      <c r="A32" s="9">
        <f>$E$2*(11*8)</f>
        <v>2933.3333333333335</v>
      </c>
      <c r="B32" s="10">
        <f t="shared" si="6"/>
        <v>1.2192000000000001</v>
      </c>
      <c r="C32" s="10">
        <f t="shared" si="7"/>
        <v>3576.32</v>
      </c>
      <c r="D32" s="11"/>
      <c r="E32" s="10"/>
      <c r="G32" s="9">
        <f>$E$2*(3*3)</f>
        <v>300</v>
      </c>
      <c r="H32" s="10">
        <f t="shared" ref="H32:H39" si="8">1.8*$D$3</f>
        <v>0.54864000000000002</v>
      </c>
      <c r="I32" s="10">
        <f t="shared" ref="I32:I39" si="9">G32*H32</f>
        <v>164.59200000000001</v>
      </c>
      <c r="J32" s="11"/>
    </row>
    <row r="33" spans="1:10">
      <c r="A33" s="9">
        <f>$E$2*(10*3)</f>
        <v>1000.0000000000001</v>
      </c>
      <c r="B33" s="10">
        <f t="shared" si="6"/>
        <v>1.2192000000000001</v>
      </c>
      <c r="C33" s="10">
        <f t="shared" si="7"/>
        <v>1219.2000000000003</v>
      </c>
      <c r="D33" s="11"/>
      <c r="E33" s="10"/>
      <c r="G33" s="9">
        <f>$E$2*(6*3)</f>
        <v>600</v>
      </c>
      <c r="H33" s="10">
        <f t="shared" si="8"/>
        <v>0.54864000000000002</v>
      </c>
      <c r="I33" s="10">
        <f t="shared" si="9"/>
        <v>329.18400000000003</v>
      </c>
      <c r="J33" s="11"/>
    </row>
    <row r="34" spans="1:10">
      <c r="A34" s="9">
        <f>$E$2*(1*13)</f>
        <v>433.33333333333337</v>
      </c>
      <c r="B34" s="10">
        <f t="shared" si="6"/>
        <v>1.2192000000000001</v>
      </c>
      <c r="C34" s="10">
        <f t="shared" si="7"/>
        <v>528.32000000000005</v>
      </c>
      <c r="D34" s="11"/>
      <c r="E34" s="10"/>
      <c r="G34" s="9">
        <f>$E$2*(10*3)</f>
        <v>1000.0000000000001</v>
      </c>
      <c r="H34" s="10">
        <f t="shared" si="8"/>
        <v>0.54864000000000002</v>
      </c>
      <c r="I34" s="10">
        <f t="shared" si="9"/>
        <v>548.6400000000001</v>
      </c>
      <c r="J34" s="11"/>
    </row>
    <row r="35" spans="1:10">
      <c r="A35" s="9">
        <f>$E$2*(0.5*(4.3*2.5))</f>
        <v>179.16666666666669</v>
      </c>
      <c r="B35" s="10">
        <f t="shared" si="6"/>
        <v>1.2192000000000001</v>
      </c>
      <c r="C35" s="10">
        <f t="shared" si="7"/>
        <v>218.44000000000003</v>
      </c>
      <c r="D35" s="11"/>
      <c r="E35" s="10"/>
      <c r="G35" s="9">
        <f>$E$2*(19*6)</f>
        <v>3800.0000000000005</v>
      </c>
      <c r="H35" s="10">
        <f t="shared" si="8"/>
        <v>0.54864000000000002</v>
      </c>
      <c r="I35" s="10">
        <f t="shared" si="9"/>
        <v>2084.8320000000003</v>
      </c>
      <c r="J35" s="11"/>
    </row>
    <row r="36" spans="1:10">
      <c r="A36" s="9"/>
      <c r="B36" s="10"/>
      <c r="C36" s="10"/>
      <c r="D36" s="11"/>
      <c r="E36" s="10"/>
      <c r="G36" s="9">
        <f>$E$2*(11*8)</f>
        <v>2933.3333333333335</v>
      </c>
      <c r="H36" s="10">
        <f t="shared" si="8"/>
        <v>0.54864000000000002</v>
      </c>
      <c r="I36" s="10">
        <f t="shared" si="9"/>
        <v>1609.3440000000001</v>
      </c>
      <c r="J36" s="11"/>
    </row>
    <row r="37" spans="1:10">
      <c r="A37" s="9" t="s">
        <v>87</v>
      </c>
      <c r="B37" s="10"/>
      <c r="C37" s="10"/>
      <c r="D37" s="11" t="s">
        <v>67</v>
      </c>
      <c r="E37" s="10"/>
      <c r="G37" s="9">
        <f>$E$2*(10*3)</f>
        <v>1000.0000000000001</v>
      </c>
      <c r="H37" s="10">
        <f t="shared" si="8"/>
        <v>0.54864000000000002</v>
      </c>
      <c r="I37" s="10">
        <f t="shared" si="9"/>
        <v>548.6400000000001</v>
      </c>
      <c r="J37" s="11"/>
    </row>
    <row r="38" spans="1:10">
      <c r="A38" s="9"/>
      <c r="B38" s="10" t="s">
        <v>88</v>
      </c>
      <c r="C38" s="10"/>
      <c r="D38" s="11">
        <f>1-(B39/D27)</f>
        <v>0.63457477044650812</v>
      </c>
      <c r="E38" s="10"/>
      <c r="G38" s="9">
        <f>$E$2*(1*13)</f>
        <v>433.33333333333337</v>
      </c>
      <c r="H38" s="10">
        <f t="shared" si="8"/>
        <v>0.54864000000000002</v>
      </c>
      <c r="I38" s="10">
        <f t="shared" si="9"/>
        <v>237.74400000000003</v>
      </c>
      <c r="J38" s="11"/>
    </row>
    <row r="39" spans="1:10">
      <c r="A39" s="12"/>
      <c r="B39" s="13">
        <f>SUM(C18:C22)</f>
        <v>22169.186146224343</v>
      </c>
      <c r="C39" s="13"/>
      <c r="D39" s="14"/>
      <c r="E39" s="10"/>
      <c r="G39" s="9">
        <f>$E$2*(0.5*(4.3*2.5))</f>
        <v>179.16666666666669</v>
      </c>
      <c r="H39" s="10">
        <f t="shared" si="8"/>
        <v>0.54864000000000002</v>
      </c>
      <c r="I39" s="10">
        <f t="shared" si="9"/>
        <v>98.298000000000016</v>
      </c>
      <c r="J39" s="11"/>
    </row>
    <row r="40" spans="1:10">
      <c r="A40" s="10"/>
      <c r="B40" s="10"/>
      <c r="C40" s="10"/>
      <c r="D40" s="10"/>
      <c r="E40" s="10"/>
      <c r="G40" s="9"/>
      <c r="H40" s="10"/>
      <c r="I40" s="10"/>
      <c r="J40" s="11" t="s">
        <v>67</v>
      </c>
    </row>
    <row r="41" spans="1:10">
      <c r="G41" s="12"/>
      <c r="H41" s="13"/>
      <c r="I41" s="13"/>
      <c r="J41" s="14">
        <f>1-(J31/J19)</f>
        <v>0.30490729433173103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74"/>
  <sheetViews>
    <sheetView workbookViewId="0">
      <selection activeCell="F24" sqref="F24"/>
    </sheetView>
  </sheetViews>
  <sheetFormatPr baseColWidth="10" defaultRowHeight="13"/>
  <cols>
    <col min="1" max="1" width="21.5703125" style="18" customWidth="1"/>
    <col min="2" max="2" width="22.140625" style="18" customWidth="1"/>
    <col min="3" max="3" width="21.7109375" style="18" customWidth="1"/>
    <col min="4" max="4" width="15.85546875" style="18" customWidth="1"/>
    <col min="5" max="6" width="10.7109375" style="18"/>
    <col min="7" max="7" width="17.140625" style="18" customWidth="1"/>
    <col min="8" max="8" width="15.85546875" style="18" customWidth="1"/>
    <col min="9" max="9" width="16.42578125" style="18" customWidth="1"/>
    <col min="10" max="10" width="16.28515625" style="18" customWidth="1"/>
    <col min="11" max="16384" width="10.7109375" style="18"/>
  </cols>
  <sheetData>
    <row r="1" spans="1:10">
      <c r="A1" s="15" t="s">
        <v>76</v>
      </c>
      <c r="B1" s="16"/>
      <c r="C1" s="16"/>
      <c r="D1" s="16"/>
      <c r="E1" s="17" t="s">
        <v>86</v>
      </c>
      <c r="G1" s="15" t="s">
        <v>61</v>
      </c>
      <c r="H1" s="16"/>
      <c r="I1" s="16"/>
      <c r="J1" s="17" t="s">
        <v>66</v>
      </c>
    </row>
    <row r="2" spans="1:10">
      <c r="A2" s="19" t="s">
        <v>77</v>
      </c>
      <c r="B2" s="20">
        <v>3</v>
      </c>
      <c r="C2" s="20" t="s">
        <v>78</v>
      </c>
      <c r="D2" s="20">
        <v>100</v>
      </c>
      <c r="E2" s="21">
        <f>100/3</f>
        <v>33.333333333333336</v>
      </c>
      <c r="G2" s="19" t="s">
        <v>81</v>
      </c>
      <c r="H2" s="20" t="s">
        <v>80</v>
      </c>
      <c r="I2" s="20" t="s">
        <v>82</v>
      </c>
      <c r="J2" s="21">
        <f>SUM(I3:I22)+$D$18+(SUM(A18:A32)*B5)</f>
        <v>437554.8806971403</v>
      </c>
    </row>
    <row r="3" spans="1:10">
      <c r="A3" s="22" t="s">
        <v>79</v>
      </c>
      <c r="B3" s="23">
        <v>1</v>
      </c>
      <c r="C3" s="23" t="s">
        <v>78</v>
      </c>
      <c r="D3" s="23">
        <v>0.30480000000000002</v>
      </c>
      <c r="E3" s="24"/>
      <c r="G3" s="19">
        <f>$E$2*(20*3)</f>
        <v>2000.0000000000002</v>
      </c>
      <c r="H3" s="20">
        <f t="shared" ref="H3:H22" si="0">4.6*$D$3</f>
        <v>1.40208</v>
      </c>
      <c r="I3" s="20">
        <f>G3*H3</f>
        <v>2804.1600000000003</v>
      </c>
      <c r="J3" s="21"/>
    </row>
    <row r="4" spans="1:10">
      <c r="A4" s="25" t="s">
        <v>35</v>
      </c>
      <c r="B4" s="26" t="s">
        <v>34</v>
      </c>
      <c r="G4" s="19">
        <f>$E$2*(18*3)</f>
        <v>1800.0000000000002</v>
      </c>
      <c r="H4" s="20">
        <f t="shared" si="0"/>
        <v>1.40208</v>
      </c>
      <c r="I4" s="20">
        <f t="shared" ref="I4:I22" si="1">G4*H4</f>
        <v>2523.7440000000001</v>
      </c>
      <c r="J4" s="21"/>
    </row>
    <row r="5" spans="1:10">
      <c r="A5" s="32">
        <v>9.2000000000000011</v>
      </c>
      <c r="B5" s="34">
        <v>2.80416</v>
      </c>
      <c r="G5" s="19">
        <f>$E$2*(10*7)</f>
        <v>2333.3333333333335</v>
      </c>
      <c r="H5" s="20">
        <f t="shared" si="0"/>
        <v>1.40208</v>
      </c>
      <c r="I5" s="20">
        <f t="shared" si="1"/>
        <v>3271.52</v>
      </c>
      <c r="J5" s="21"/>
    </row>
    <row r="6" spans="1:10">
      <c r="A6" s="32">
        <v>8</v>
      </c>
      <c r="B6" s="34">
        <v>2.4384000000000001</v>
      </c>
      <c r="G6" s="19">
        <f>$E$2*(29*3)</f>
        <v>2900</v>
      </c>
      <c r="H6" s="20">
        <f t="shared" si="0"/>
        <v>1.40208</v>
      </c>
      <c r="I6" s="20">
        <f t="shared" si="1"/>
        <v>4066.0320000000002</v>
      </c>
      <c r="J6" s="21"/>
    </row>
    <row r="7" spans="1:10">
      <c r="A7" s="35">
        <v>7.2</v>
      </c>
      <c r="B7" s="34">
        <v>2.1945600000000001</v>
      </c>
      <c r="G7" s="19">
        <f>$E$2*(12*4)</f>
        <v>1600</v>
      </c>
      <c r="H7" s="20">
        <f t="shared" si="0"/>
        <v>1.40208</v>
      </c>
      <c r="I7" s="20">
        <f t="shared" si="1"/>
        <v>2243.328</v>
      </c>
      <c r="J7" s="21"/>
    </row>
    <row r="8" spans="1:10">
      <c r="A8" s="35">
        <v>3.6</v>
      </c>
      <c r="B8" s="34">
        <v>1.09728</v>
      </c>
      <c r="G8" s="19">
        <f>$E$2*(10*1)</f>
        <v>333.33333333333337</v>
      </c>
      <c r="H8" s="20">
        <f t="shared" si="0"/>
        <v>1.40208</v>
      </c>
      <c r="I8" s="20">
        <f t="shared" si="1"/>
        <v>467.36000000000007</v>
      </c>
      <c r="J8" s="21"/>
    </row>
    <row r="9" spans="1:10">
      <c r="A9" s="28">
        <v>3.2</v>
      </c>
      <c r="B9" s="37">
        <v>0.97536</v>
      </c>
      <c r="G9" s="19">
        <f>$E$2*(12*3)</f>
        <v>1200</v>
      </c>
      <c r="H9" s="20">
        <f t="shared" si="0"/>
        <v>1.40208</v>
      </c>
      <c r="I9" s="20">
        <f t="shared" si="1"/>
        <v>1682.4960000000001</v>
      </c>
      <c r="J9" s="21"/>
    </row>
    <row r="10" spans="1:10">
      <c r="G10" s="19">
        <f>$E$2*(15*3)</f>
        <v>1500</v>
      </c>
      <c r="H10" s="20">
        <f t="shared" si="0"/>
        <v>1.40208</v>
      </c>
      <c r="I10" s="20">
        <f t="shared" si="1"/>
        <v>2103.12</v>
      </c>
      <c r="J10" s="21"/>
    </row>
    <row r="11" spans="1:10">
      <c r="A11" s="25" t="s">
        <v>36</v>
      </c>
      <c r="B11" s="39" t="s">
        <v>11</v>
      </c>
      <c r="C11" s="39" t="s">
        <v>13</v>
      </c>
      <c r="D11" s="40" t="s">
        <v>31</v>
      </c>
      <c r="G11" s="19">
        <f>$E$2*(5*1)</f>
        <v>166.66666666666669</v>
      </c>
      <c r="H11" s="20">
        <f t="shared" si="0"/>
        <v>1.40208</v>
      </c>
      <c r="I11" s="20">
        <f t="shared" si="1"/>
        <v>233.68000000000004</v>
      </c>
      <c r="J11" s="21"/>
    </row>
    <row r="12" spans="1:10">
      <c r="A12" s="32" t="s">
        <v>33</v>
      </c>
      <c r="B12" s="45">
        <f>J2-H26</f>
        <v>288535.36177397135</v>
      </c>
      <c r="C12" s="45">
        <f>B12*2</f>
        <v>577070.7235479427</v>
      </c>
      <c r="D12" s="42">
        <f>J2/C12</f>
        <v>0.75823441190530005</v>
      </c>
      <c r="G12" s="19">
        <f>$E$2*(5*2)</f>
        <v>333.33333333333337</v>
      </c>
      <c r="H12" s="20">
        <f t="shared" si="0"/>
        <v>1.40208</v>
      </c>
      <c r="I12" s="20">
        <f t="shared" si="1"/>
        <v>467.36000000000007</v>
      </c>
      <c r="J12" s="21"/>
    </row>
    <row r="13" spans="1:10">
      <c r="A13" s="32" t="s">
        <v>12</v>
      </c>
      <c r="B13" s="45">
        <f>D36-B59</f>
        <v>184775.33017675573</v>
      </c>
      <c r="C13" s="45">
        <f t="shared" ref="C13:C14" si="2">B13*2</f>
        <v>369550.66035351146</v>
      </c>
      <c r="D13" s="42">
        <f>D36/C13</f>
        <v>1.0849899193444021</v>
      </c>
      <c r="E13" s="18">
        <f>AVERAGE(D12,D14)</f>
        <v>1.5030331036571709</v>
      </c>
      <c r="G13" s="19">
        <f>$E$2*(4*6)</f>
        <v>800</v>
      </c>
      <c r="H13" s="20">
        <f t="shared" si="0"/>
        <v>1.40208</v>
      </c>
      <c r="I13" s="20">
        <f t="shared" si="1"/>
        <v>1121.664</v>
      </c>
      <c r="J13" s="21"/>
    </row>
    <row r="14" spans="1:10">
      <c r="A14" s="28" t="s">
        <v>32</v>
      </c>
      <c r="B14" s="43">
        <f>J29-J52</f>
        <v>86623.618579540111</v>
      </c>
      <c r="C14" s="43">
        <f t="shared" si="2"/>
        <v>173247.23715908022</v>
      </c>
      <c r="D14" s="44">
        <f>J29/C14</f>
        <v>2.2478317954090419</v>
      </c>
      <c r="G14" s="19">
        <f>$E$2*(9*2)</f>
        <v>600</v>
      </c>
      <c r="H14" s="20">
        <f t="shared" si="0"/>
        <v>1.40208</v>
      </c>
      <c r="I14" s="20">
        <f t="shared" si="1"/>
        <v>841.24800000000005</v>
      </c>
      <c r="J14" s="21"/>
    </row>
    <row r="15" spans="1:10">
      <c r="G15" s="19">
        <f>$E$2*(1*5)</f>
        <v>166.66666666666669</v>
      </c>
      <c r="H15" s="20">
        <f t="shared" si="0"/>
        <v>1.40208</v>
      </c>
      <c r="I15" s="20">
        <f t="shared" si="1"/>
        <v>233.68000000000004</v>
      </c>
      <c r="J15" s="21"/>
    </row>
    <row r="16" spans="1:10">
      <c r="A16" s="15" t="s">
        <v>87</v>
      </c>
      <c r="B16" s="16"/>
      <c r="C16" s="16"/>
      <c r="D16" s="17"/>
      <c r="G16" s="19">
        <f>$E$2*(3*7)</f>
        <v>700</v>
      </c>
      <c r="H16" s="20">
        <f t="shared" si="0"/>
        <v>1.40208</v>
      </c>
      <c r="I16" s="20">
        <f t="shared" si="1"/>
        <v>981.45600000000002</v>
      </c>
      <c r="J16" s="21"/>
    </row>
    <row r="17" spans="1:10">
      <c r="A17" s="19" t="s">
        <v>83</v>
      </c>
      <c r="B17" s="20" t="s">
        <v>84</v>
      </c>
      <c r="C17" s="20" t="s">
        <v>85</v>
      </c>
      <c r="D17" s="21" t="s">
        <v>66</v>
      </c>
      <c r="G17" s="19">
        <f>$E$2*(8*1)</f>
        <v>266.66666666666669</v>
      </c>
      <c r="H17" s="20">
        <f t="shared" si="0"/>
        <v>1.40208</v>
      </c>
      <c r="I17" s="20">
        <f t="shared" si="1"/>
        <v>373.88800000000003</v>
      </c>
      <c r="J17" s="21"/>
    </row>
    <row r="18" spans="1:10">
      <c r="A18" s="19">
        <f>$E$2*(PI()*(10^2))</f>
        <v>10471.975511965979</v>
      </c>
      <c r="B18" s="20">
        <f>AVERAGE(4,3,5,5,9,11)*D3</f>
        <v>1.8796000000000002</v>
      </c>
      <c r="C18" s="20">
        <f>B18*A18</f>
        <v>19683.125172291257</v>
      </c>
      <c r="D18" s="21">
        <f>SUM(C18:C32)</f>
        <v>216183.41099387122</v>
      </c>
      <c r="G18" s="19">
        <f>$E$2*(6*8)</f>
        <v>1600</v>
      </c>
      <c r="H18" s="20">
        <f t="shared" si="0"/>
        <v>1.40208</v>
      </c>
      <c r="I18" s="20">
        <f t="shared" si="1"/>
        <v>2243.328</v>
      </c>
      <c r="J18" s="21"/>
    </row>
    <row r="19" spans="1:10">
      <c r="A19" s="19">
        <f>E2*(13*19)</f>
        <v>8233.3333333333339</v>
      </c>
      <c r="B19" s="20">
        <f>AVERAGE(7,,18,15,14,14)*D3</f>
        <v>3.4544000000000001</v>
      </c>
      <c r="C19" s="20">
        <f t="shared" ref="C19:C32" si="3">B19*A19</f>
        <v>28441.226666666669</v>
      </c>
      <c r="D19" s="21"/>
      <c r="G19" s="19">
        <f>$E$2*(10*2)</f>
        <v>666.66666666666674</v>
      </c>
      <c r="H19" s="20">
        <f t="shared" si="0"/>
        <v>1.40208</v>
      </c>
      <c r="I19" s="20">
        <f t="shared" si="1"/>
        <v>934.72000000000014</v>
      </c>
      <c r="J19" s="21"/>
    </row>
    <row r="20" spans="1:10">
      <c r="A20" s="19">
        <f>E2*(0.5*12*16)</f>
        <v>3200</v>
      </c>
      <c r="B20" s="20">
        <f>AVERAGE(,13)*D3</f>
        <v>1.9812000000000001</v>
      </c>
      <c r="C20" s="20">
        <f t="shared" si="3"/>
        <v>6339.84</v>
      </c>
      <c r="D20" s="21"/>
      <c r="G20" s="19">
        <f>$E$2*(0.5*6*8)</f>
        <v>800</v>
      </c>
      <c r="H20" s="20">
        <f t="shared" si="0"/>
        <v>1.40208</v>
      </c>
      <c r="I20" s="20">
        <f t="shared" si="1"/>
        <v>1121.664</v>
      </c>
      <c r="J20" s="21"/>
    </row>
    <row r="21" spans="1:10">
      <c r="A21" s="19">
        <f>E2*(5*5*0.5)</f>
        <v>416.66666666666669</v>
      </c>
      <c r="B21" s="20">
        <f>AVERAGE(,5,5)*D3</f>
        <v>1.016</v>
      </c>
      <c r="C21" s="20">
        <f t="shared" si="3"/>
        <v>423.33333333333337</v>
      </c>
      <c r="D21" s="21"/>
      <c r="G21" s="19">
        <f>$E$2*(0.5*4*3)</f>
        <v>200</v>
      </c>
      <c r="H21" s="20">
        <f t="shared" si="0"/>
        <v>1.40208</v>
      </c>
      <c r="I21" s="20">
        <f t="shared" si="1"/>
        <v>280.416</v>
      </c>
      <c r="J21" s="21"/>
    </row>
    <row r="22" spans="1:10">
      <c r="A22" s="19">
        <f>E2*(0.5*10*9)</f>
        <v>1500</v>
      </c>
      <c r="B22" s="20">
        <f>AVERAGE(11,5,)*D3</f>
        <v>1.6255999999999999</v>
      </c>
      <c r="C22" s="20">
        <f t="shared" si="3"/>
        <v>2438.4</v>
      </c>
      <c r="D22" s="21"/>
      <c r="G22" s="19">
        <f>$E$2*(0.5*4*3)</f>
        <v>200</v>
      </c>
      <c r="H22" s="20">
        <f t="shared" si="0"/>
        <v>1.40208</v>
      </c>
      <c r="I22" s="20">
        <f t="shared" si="1"/>
        <v>280.416</v>
      </c>
      <c r="J22" s="21"/>
    </row>
    <row r="23" spans="1:10">
      <c r="A23" s="19">
        <f>E2*(0.5*17*24)</f>
        <v>6800.0000000000009</v>
      </c>
      <c r="B23" s="20">
        <f>AVERAGE(11,11,)</f>
        <v>7.333333333333333</v>
      </c>
      <c r="C23" s="20">
        <f t="shared" si="3"/>
        <v>49866.666666666672</v>
      </c>
      <c r="D23" s="21"/>
      <c r="G23" s="19"/>
      <c r="H23" s="20"/>
      <c r="I23" s="20"/>
      <c r="J23" s="21"/>
    </row>
    <row r="24" spans="1:10">
      <c r="A24" s="19">
        <f>E2*(15*16*0.5)</f>
        <v>4000.0000000000005</v>
      </c>
      <c r="B24" s="20">
        <f>AVERAGE(12,10)*D3</f>
        <v>3.3528000000000002</v>
      </c>
      <c r="C24" s="20">
        <f t="shared" si="3"/>
        <v>13411.200000000003</v>
      </c>
      <c r="D24" s="21"/>
      <c r="G24" s="19" t="s">
        <v>62</v>
      </c>
      <c r="H24" s="20"/>
      <c r="I24" s="20"/>
      <c r="J24" s="21" t="s">
        <v>63</v>
      </c>
    </row>
    <row r="25" spans="1:10">
      <c r="A25" s="19">
        <f>E2*(12*30)</f>
        <v>12000</v>
      </c>
      <c r="B25" s="20">
        <f>AVERAGE(2,9,15,18,12,2)*D3</f>
        <v>2.9464000000000001</v>
      </c>
      <c r="C25" s="20">
        <f t="shared" si="3"/>
        <v>35356.800000000003</v>
      </c>
      <c r="D25" s="21"/>
      <c r="G25" s="19" t="s">
        <v>0</v>
      </c>
      <c r="H25" s="20" t="s">
        <v>66</v>
      </c>
      <c r="I25" s="20"/>
      <c r="J25" s="21">
        <f>1-(H26/J2)</f>
        <v>0.65942667880714401</v>
      </c>
    </row>
    <row r="26" spans="1:10">
      <c r="A26" s="19">
        <f>$E$2*(PI()*(10^2))</f>
        <v>10471.975511965979</v>
      </c>
      <c r="B26" s="20">
        <f>D3*AVERAGE(9,9,6,6,5,4,3,3,2)</f>
        <v>1.5917333333333334</v>
      </c>
      <c r="C26" s="20">
        <f t="shared" si="3"/>
        <v>16668.59248824665</v>
      </c>
      <c r="D26" s="21"/>
      <c r="G26" s="22">
        <f>B9*SUM(A18:A32)</f>
        <v>67163.892070702292</v>
      </c>
      <c r="H26" s="23">
        <f>D18-G26</f>
        <v>149019.51892316894</v>
      </c>
      <c r="I26" s="23"/>
      <c r="J26" s="24"/>
    </row>
    <row r="27" spans="1:10">
      <c r="A27" s="19">
        <f>E2*(0.5*13*11)</f>
        <v>2383.3333333333335</v>
      </c>
      <c r="B27" s="20">
        <f>AVERAGE(14,11)*D3</f>
        <v>3.81</v>
      </c>
      <c r="C27" s="20">
        <f t="shared" si="3"/>
        <v>9080.5</v>
      </c>
      <c r="D27" s="21"/>
    </row>
    <row r="28" spans="1:10">
      <c r="A28" s="19">
        <f>E2*(2*12)</f>
        <v>800</v>
      </c>
      <c r="B28" s="20">
        <f>2*D3</f>
        <v>0.60960000000000003</v>
      </c>
      <c r="C28" s="20">
        <f t="shared" si="3"/>
        <v>487.68</v>
      </c>
      <c r="D28" s="21"/>
      <c r="G28" s="15" t="s">
        <v>64</v>
      </c>
      <c r="H28" s="16"/>
      <c r="I28" s="16"/>
      <c r="J28" s="17" t="s">
        <v>66</v>
      </c>
    </row>
    <row r="29" spans="1:10">
      <c r="A29" s="19">
        <f>E2*(0.5*5*20)</f>
        <v>1666.6666666666667</v>
      </c>
      <c r="B29" s="20">
        <f>AVERAGE(2,7,20)*D3</f>
        <v>2.9464000000000001</v>
      </c>
      <c r="C29" s="20">
        <f t="shared" si="3"/>
        <v>4910.666666666667</v>
      </c>
      <c r="D29" s="21"/>
      <c r="G29" s="19" t="s">
        <v>81</v>
      </c>
      <c r="H29" s="20" t="s">
        <v>80</v>
      </c>
      <c r="I29" s="20" t="s">
        <v>82</v>
      </c>
      <c r="J29" s="21">
        <f>SUM(I30:I49)+$D$18+(SUM(A18:A32)*B7)</f>
        <v>389430.64815295138</v>
      </c>
    </row>
    <row r="30" spans="1:10">
      <c r="A30" s="19">
        <f>E2*(6*20)</f>
        <v>4000.0000000000005</v>
      </c>
      <c r="B30" s="20">
        <f>AVERAGE(10,24,9)*D3</f>
        <v>4.3688000000000002</v>
      </c>
      <c r="C30" s="20">
        <f t="shared" si="3"/>
        <v>17475.200000000004</v>
      </c>
      <c r="D30" s="21"/>
      <c r="G30" s="19">
        <f>$E$2*(20*3)</f>
        <v>2000.0000000000002</v>
      </c>
      <c r="H30" s="20">
        <f>3.6*$D$3</f>
        <v>1.09728</v>
      </c>
      <c r="I30" s="20">
        <f>G30*H30</f>
        <v>2194.5600000000004</v>
      </c>
      <c r="J30" s="21"/>
    </row>
    <row r="31" spans="1:10">
      <c r="A31" s="19">
        <f>E2*(0.5*9*6)</f>
        <v>900.00000000000011</v>
      </c>
      <c r="B31" s="20">
        <f>21*D3</f>
        <v>6.4008000000000003</v>
      </c>
      <c r="C31" s="20">
        <f t="shared" si="3"/>
        <v>5760.7200000000012</v>
      </c>
      <c r="D31" s="21"/>
      <c r="G31" s="19">
        <f>$E$2*(18*3)</f>
        <v>1800.0000000000002</v>
      </c>
      <c r="H31" s="20">
        <f t="shared" ref="H31:H49" si="4">3.6*$D$3</f>
        <v>1.09728</v>
      </c>
      <c r="I31" s="20">
        <f t="shared" ref="I31:I49" si="5">G31*H31</f>
        <v>1975.1040000000003</v>
      </c>
      <c r="J31" s="21"/>
    </row>
    <row r="32" spans="1:10">
      <c r="A32" s="22">
        <f>E2*(0.5*11*11)</f>
        <v>2016.6666666666667</v>
      </c>
      <c r="B32" s="23">
        <f>AVERAGE(10,9)*D3</f>
        <v>2.8956</v>
      </c>
      <c r="C32" s="23">
        <f t="shared" si="3"/>
        <v>5839.46</v>
      </c>
      <c r="D32" s="24"/>
      <c r="G32" s="19">
        <f>$E$2*(10*7)</f>
        <v>2333.3333333333335</v>
      </c>
      <c r="H32" s="20">
        <f t="shared" si="4"/>
        <v>1.09728</v>
      </c>
      <c r="I32" s="20">
        <f t="shared" si="5"/>
        <v>2560.3200000000002</v>
      </c>
      <c r="J32" s="21"/>
    </row>
    <row r="33" spans="1:10">
      <c r="G33" s="19">
        <f>$E$2*(29*3)</f>
        <v>2900</v>
      </c>
      <c r="H33" s="20">
        <f t="shared" si="4"/>
        <v>1.09728</v>
      </c>
      <c r="I33" s="20">
        <f t="shared" si="5"/>
        <v>3182.1120000000001</v>
      </c>
      <c r="J33" s="21"/>
    </row>
    <row r="34" spans="1:10">
      <c r="A34" s="15" t="s">
        <v>68</v>
      </c>
      <c r="B34" s="16"/>
      <c r="C34" s="16"/>
      <c r="D34" s="17"/>
      <c r="G34" s="19">
        <f>$E$2*(12*4)</f>
        <v>1600</v>
      </c>
      <c r="H34" s="20">
        <f t="shared" si="4"/>
        <v>1.09728</v>
      </c>
      <c r="I34" s="20">
        <f t="shared" si="5"/>
        <v>1755.6480000000001</v>
      </c>
      <c r="J34" s="21"/>
    </row>
    <row r="35" spans="1:10">
      <c r="A35" s="19" t="s">
        <v>81</v>
      </c>
      <c r="B35" s="20" t="s">
        <v>80</v>
      </c>
      <c r="C35" s="20" t="s">
        <v>82</v>
      </c>
      <c r="D35" s="21" t="s">
        <v>66</v>
      </c>
      <c r="G35" s="19">
        <f>$E$2*(10*1)</f>
        <v>333.33333333333337</v>
      </c>
      <c r="H35" s="20">
        <f t="shared" si="4"/>
        <v>1.09728</v>
      </c>
      <c r="I35" s="20">
        <f t="shared" si="5"/>
        <v>365.76000000000005</v>
      </c>
      <c r="J35" s="21"/>
    </row>
    <row r="36" spans="1:10">
      <c r="A36" s="19">
        <f>$E$2*(20*3)</f>
        <v>2000.0000000000002</v>
      </c>
      <c r="B36" s="20">
        <f>4*$D$3</f>
        <v>1.2192000000000001</v>
      </c>
      <c r="C36" s="20">
        <f>A36*B36</f>
        <v>2438.4000000000005</v>
      </c>
      <c r="D36" s="21">
        <f>SUM(C36:C44)+$D$18+(SUM(A18:A32)*B6)</f>
        <v>400958.74117062695</v>
      </c>
      <c r="G36" s="19">
        <f>$E$2*(12*3)</f>
        <v>1200</v>
      </c>
      <c r="H36" s="20">
        <f t="shared" si="4"/>
        <v>1.09728</v>
      </c>
      <c r="I36" s="20">
        <f t="shared" si="5"/>
        <v>1316.7360000000001</v>
      </c>
      <c r="J36" s="21"/>
    </row>
    <row r="37" spans="1:10">
      <c r="A37" s="19">
        <f>$E$2*(18*3)</f>
        <v>1800.0000000000002</v>
      </c>
      <c r="B37" s="20">
        <f t="shared" ref="B37:B55" si="6">4*$D$3</f>
        <v>1.2192000000000001</v>
      </c>
      <c r="C37" s="20">
        <f t="shared" ref="C37:C55" si="7">A37*B37</f>
        <v>2194.5600000000004</v>
      </c>
      <c r="D37" s="21"/>
      <c r="G37" s="19">
        <f>$E$2*(15*3)</f>
        <v>1500</v>
      </c>
      <c r="H37" s="20">
        <f t="shared" si="4"/>
        <v>1.09728</v>
      </c>
      <c r="I37" s="20">
        <f t="shared" si="5"/>
        <v>1645.92</v>
      </c>
      <c r="J37" s="21"/>
    </row>
    <row r="38" spans="1:10">
      <c r="A38" s="19">
        <f>$E$2*(10*7)</f>
        <v>2333.3333333333335</v>
      </c>
      <c r="B38" s="20">
        <f t="shared" si="6"/>
        <v>1.2192000000000001</v>
      </c>
      <c r="C38" s="20">
        <f t="shared" si="7"/>
        <v>2844.8</v>
      </c>
      <c r="D38" s="21"/>
      <c r="G38" s="19">
        <f>$E$2*(5*1)</f>
        <v>166.66666666666669</v>
      </c>
      <c r="H38" s="20">
        <f t="shared" si="4"/>
        <v>1.09728</v>
      </c>
      <c r="I38" s="20">
        <f t="shared" si="5"/>
        <v>182.88000000000002</v>
      </c>
      <c r="J38" s="21"/>
    </row>
    <row r="39" spans="1:10">
      <c r="A39" s="19">
        <f>$E$2*(29*3)</f>
        <v>2900</v>
      </c>
      <c r="B39" s="20">
        <f t="shared" si="6"/>
        <v>1.2192000000000001</v>
      </c>
      <c r="C39" s="20">
        <f t="shared" si="7"/>
        <v>3535.6800000000003</v>
      </c>
      <c r="D39" s="21"/>
      <c r="G39" s="19">
        <f>$E$2*(5*2)</f>
        <v>333.33333333333337</v>
      </c>
      <c r="H39" s="20">
        <f t="shared" si="4"/>
        <v>1.09728</v>
      </c>
      <c r="I39" s="20">
        <f t="shared" si="5"/>
        <v>365.76000000000005</v>
      </c>
      <c r="J39" s="21"/>
    </row>
    <row r="40" spans="1:10">
      <c r="A40" s="19">
        <f>$E$2*(12*4)</f>
        <v>1600</v>
      </c>
      <c r="B40" s="20">
        <f t="shared" si="6"/>
        <v>1.2192000000000001</v>
      </c>
      <c r="C40" s="20">
        <f t="shared" si="7"/>
        <v>1950.72</v>
      </c>
      <c r="D40" s="21"/>
      <c r="G40" s="19">
        <f>$E$2*(4*6)</f>
        <v>800</v>
      </c>
      <c r="H40" s="20">
        <f t="shared" si="4"/>
        <v>1.09728</v>
      </c>
      <c r="I40" s="20">
        <f t="shared" si="5"/>
        <v>877.82400000000007</v>
      </c>
      <c r="J40" s="21"/>
    </row>
    <row r="41" spans="1:10">
      <c r="A41" s="19">
        <f>$E$2*(10*1)</f>
        <v>333.33333333333337</v>
      </c>
      <c r="B41" s="20">
        <f t="shared" si="6"/>
        <v>1.2192000000000001</v>
      </c>
      <c r="C41" s="20">
        <f t="shared" si="7"/>
        <v>406.40000000000009</v>
      </c>
      <c r="D41" s="21"/>
      <c r="G41" s="19">
        <f>$E$2*(9*2)</f>
        <v>600</v>
      </c>
      <c r="H41" s="20">
        <f t="shared" si="4"/>
        <v>1.09728</v>
      </c>
      <c r="I41" s="20">
        <f t="shared" si="5"/>
        <v>658.36800000000005</v>
      </c>
      <c r="J41" s="21"/>
    </row>
    <row r="42" spans="1:10">
      <c r="A42" s="19">
        <f>$E$2*(12*3)</f>
        <v>1200</v>
      </c>
      <c r="B42" s="20">
        <f t="shared" si="6"/>
        <v>1.2192000000000001</v>
      </c>
      <c r="C42" s="20">
        <f t="shared" si="7"/>
        <v>1463.04</v>
      </c>
      <c r="D42" s="21"/>
      <c r="G42" s="19">
        <f>$E$2*(1*5)</f>
        <v>166.66666666666669</v>
      </c>
      <c r="H42" s="20">
        <f t="shared" si="4"/>
        <v>1.09728</v>
      </c>
      <c r="I42" s="20">
        <f t="shared" si="5"/>
        <v>182.88000000000002</v>
      </c>
      <c r="J42" s="21"/>
    </row>
    <row r="43" spans="1:10">
      <c r="A43" s="19">
        <f>$E$2*(15*3)</f>
        <v>1500</v>
      </c>
      <c r="B43" s="20">
        <f t="shared" si="6"/>
        <v>1.2192000000000001</v>
      </c>
      <c r="C43" s="20">
        <f t="shared" si="7"/>
        <v>1828.8000000000002</v>
      </c>
      <c r="D43" s="21"/>
      <c r="G43" s="19">
        <f>$E$2*(3*7)</f>
        <v>700</v>
      </c>
      <c r="H43" s="20">
        <f t="shared" si="4"/>
        <v>1.09728</v>
      </c>
      <c r="I43" s="20">
        <f t="shared" si="5"/>
        <v>768.096</v>
      </c>
      <c r="J43" s="21"/>
    </row>
    <row r="44" spans="1:10">
      <c r="A44" s="19">
        <f>$E$2*(5*1)</f>
        <v>166.66666666666669</v>
      </c>
      <c r="B44" s="20">
        <f t="shared" si="6"/>
        <v>1.2192000000000001</v>
      </c>
      <c r="C44" s="20">
        <f t="shared" si="7"/>
        <v>203.20000000000005</v>
      </c>
      <c r="D44" s="21"/>
      <c r="G44" s="19">
        <f>$E$2*(8*1)</f>
        <v>266.66666666666669</v>
      </c>
      <c r="H44" s="20">
        <f t="shared" si="4"/>
        <v>1.09728</v>
      </c>
      <c r="I44" s="20">
        <f t="shared" si="5"/>
        <v>292.608</v>
      </c>
      <c r="J44" s="21"/>
    </row>
    <row r="45" spans="1:10">
      <c r="A45" s="19">
        <f>E2*(5*2)</f>
        <v>333.33333333333337</v>
      </c>
      <c r="B45" s="20">
        <f t="shared" si="6"/>
        <v>1.2192000000000001</v>
      </c>
      <c r="C45" s="20">
        <f t="shared" si="7"/>
        <v>406.40000000000009</v>
      </c>
      <c r="D45" s="21"/>
      <c r="G45" s="19">
        <f>$E$2*(6*8)</f>
        <v>1600</v>
      </c>
      <c r="H45" s="20">
        <f t="shared" si="4"/>
        <v>1.09728</v>
      </c>
      <c r="I45" s="20">
        <f t="shared" si="5"/>
        <v>1755.6480000000001</v>
      </c>
      <c r="J45" s="21"/>
    </row>
    <row r="46" spans="1:10">
      <c r="A46" s="19">
        <f>E2*(4*6)</f>
        <v>800</v>
      </c>
      <c r="B46" s="20">
        <f t="shared" si="6"/>
        <v>1.2192000000000001</v>
      </c>
      <c r="C46" s="20">
        <f t="shared" si="7"/>
        <v>975.36</v>
      </c>
      <c r="D46" s="21"/>
      <c r="G46" s="19">
        <f>$E$2*(10*2)</f>
        <v>666.66666666666674</v>
      </c>
      <c r="H46" s="20">
        <f t="shared" si="4"/>
        <v>1.09728</v>
      </c>
      <c r="I46" s="20">
        <f t="shared" si="5"/>
        <v>731.5200000000001</v>
      </c>
      <c r="J46" s="21"/>
    </row>
    <row r="47" spans="1:10">
      <c r="A47" s="19">
        <f>E2*(9*2)</f>
        <v>600</v>
      </c>
      <c r="B47" s="20">
        <f t="shared" si="6"/>
        <v>1.2192000000000001</v>
      </c>
      <c r="C47" s="20">
        <f t="shared" si="7"/>
        <v>731.52</v>
      </c>
      <c r="D47" s="21"/>
      <c r="G47" s="19">
        <f>$E$2*(0.5*6*8)</f>
        <v>800</v>
      </c>
      <c r="H47" s="20">
        <f t="shared" si="4"/>
        <v>1.09728</v>
      </c>
      <c r="I47" s="20">
        <f t="shared" si="5"/>
        <v>877.82400000000007</v>
      </c>
      <c r="J47" s="21"/>
    </row>
    <row r="48" spans="1:10">
      <c r="A48" s="19">
        <f>E2*(1*5)</f>
        <v>166.66666666666669</v>
      </c>
      <c r="B48" s="20">
        <f t="shared" si="6"/>
        <v>1.2192000000000001</v>
      </c>
      <c r="C48" s="20">
        <f t="shared" si="7"/>
        <v>203.20000000000005</v>
      </c>
      <c r="D48" s="21"/>
      <c r="G48" s="19">
        <f>$E$2*(0.5*4*3)</f>
        <v>200</v>
      </c>
      <c r="H48" s="20">
        <f t="shared" si="4"/>
        <v>1.09728</v>
      </c>
      <c r="I48" s="20">
        <f t="shared" si="5"/>
        <v>219.45600000000002</v>
      </c>
      <c r="J48" s="21"/>
    </row>
    <row r="49" spans="1:10">
      <c r="A49" s="19">
        <f>E2*(3*7)</f>
        <v>700</v>
      </c>
      <c r="B49" s="20">
        <f t="shared" si="6"/>
        <v>1.2192000000000001</v>
      </c>
      <c r="C49" s="20">
        <f t="shared" si="7"/>
        <v>853.44</v>
      </c>
      <c r="D49" s="21"/>
      <c r="G49" s="19">
        <f>$E$2*(0.5*4*3)</f>
        <v>200</v>
      </c>
      <c r="H49" s="20">
        <f t="shared" si="4"/>
        <v>1.09728</v>
      </c>
      <c r="I49" s="20">
        <f t="shared" si="5"/>
        <v>219.45600000000002</v>
      </c>
      <c r="J49" s="21"/>
    </row>
    <row r="50" spans="1:10">
      <c r="A50" s="19">
        <f>E2*(8*1)</f>
        <v>266.66666666666669</v>
      </c>
      <c r="B50" s="20">
        <f t="shared" si="6"/>
        <v>1.2192000000000001</v>
      </c>
      <c r="C50" s="20">
        <f t="shared" si="7"/>
        <v>325.12000000000006</v>
      </c>
      <c r="D50" s="21"/>
      <c r="G50" s="19"/>
      <c r="H50" s="20"/>
      <c r="I50" s="20"/>
      <c r="J50" s="21"/>
    </row>
    <row r="51" spans="1:10">
      <c r="A51" s="19">
        <f>E2*(6*8)</f>
        <v>1600</v>
      </c>
      <c r="B51" s="20">
        <f t="shared" si="6"/>
        <v>1.2192000000000001</v>
      </c>
      <c r="C51" s="20">
        <f t="shared" si="7"/>
        <v>1950.72</v>
      </c>
      <c r="D51" s="21"/>
      <c r="G51" s="19" t="s">
        <v>2</v>
      </c>
      <c r="H51" s="20"/>
      <c r="I51" s="20"/>
      <c r="J51" s="21" t="s">
        <v>66</v>
      </c>
    </row>
    <row r="52" spans="1:10">
      <c r="A52" s="19">
        <f>E2*(10*2)</f>
        <v>666.66666666666674</v>
      </c>
      <c r="B52" s="20">
        <f t="shared" si="6"/>
        <v>1.2192000000000001</v>
      </c>
      <c r="C52" s="20">
        <f t="shared" si="7"/>
        <v>812.80000000000018</v>
      </c>
      <c r="D52" s="21"/>
      <c r="G52" s="19" t="s">
        <v>81</v>
      </c>
      <c r="H52" s="20" t="s">
        <v>80</v>
      </c>
      <c r="I52" s="20" t="s">
        <v>82</v>
      </c>
      <c r="J52" s="21">
        <f>SUM(I53:I72)+$D$18+(SUM(A18:A32)*B8)</f>
        <v>302807.02957341127</v>
      </c>
    </row>
    <row r="53" spans="1:10">
      <c r="A53" s="19">
        <f>E2*(0.5*6*8)</f>
        <v>800</v>
      </c>
      <c r="B53" s="20">
        <f t="shared" si="6"/>
        <v>1.2192000000000001</v>
      </c>
      <c r="C53" s="20">
        <f t="shared" si="7"/>
        <v>975.36</v>
      </c>
      <c r="D53" s="21"/>
      <c r="G53" s="19">
        <f>$E$2*(20*3)</f>
        <v>2000.0000000000002</v>
      </c>
      <c r="H53" s="20">
        <f>1.8*$D$3</f>
        <v>0.54864000000000002</v>
      </c>
      <c r="I53" s="20">
        <f>G53*H53</f>
        <v>1097.2800000000002</v>
      </c>
      <c r="J53" s="21"/>
    </row>
    <row r="54" spans="1:10">
      <c r="A54" s="19">
        <f>E2*(0.5*4*3)</f>
        <v>200</v>
      </c>
      <c r="B54" s="20">
        <f t="shared" si="6"/>
        <v>1.2192000000000001</v>
      </c>
      <c r="C54" s="20">
        <f t="shared" si="7"/>
        <v>243.84</v>
      </c>
      <c r="D54" s="21"/>
      <c r="G54" s="19">
        <f>$E$2*(18*3)</f>
        <v>1800.0000000000002</v>
      </c>
      <c r="H54" s="20">
        <f t="shared" ref="H54:H72" si="8">1.8*$D$3</f>
        <v>0.54864000000000002</v>
      </c>
      <c r="I54" s="20">
        <f t="shared" ref="I54:I72" si="9">G54*H54</f>
        <v>987.55200000000013</v>
      </c>
      <c r="J54" s="21"/>
    </row>
    <row r="55" spans="1:10">
      <c r="A55" s="19">
        <f>E2*(0.5*4*3)</f>
        <v>200</v>
      </c>
      <c r="B55" s="20">
        <f t="shared" si="6"/>
        <v>1.2192000000000001</v>
      </c>
      <c r="C55" s="20">
        <f t="shared" si="7"/>
        <v>243.84</v>
      </c>
      <c r="D55" s="21"/>
      <c r="G55" s="19">
        <f>$E$2*(10*7)</f>
        <v>2333.3333333333335</v>
      </c>
      <c r="H55" s="20">
        <f t="shared" si="8"/>
        <v>0.54864000000000002</v>
      </c>
      <c r="I55" s="20">
        <f t="shared" si="9"/>
        <v>1280.1600000000001</v>
      </c>
      <c r="J55" s="21"/>
    </row>
    <row r="56" spans="1:10">
      <c r="A56" s="19"/>
      <c r="B56" s="20"/>
      <c r="C56" s="20"/>
      <c r="D56" s="21"/>
      <c r="G56" s="19">
        <f>$E$2*(29*3)</f>
        <v>2900</v>
      </c>
      <c r="H56" s="20">
        <f t="shared" si="8"/>
        <v>0.54864000000000002</v>
      </c>
      <c r="I56" s="20">
        <f t="shared" si="9"/>
        <v>1591.056</v>
      </c>
      <c r="J56" s="21"/>
    </row>
    <row r="57" spans="1:10">
      <c r="A57" s="19" t="s">
        <v>87</v>
      </c>
      <c r="B57" s="20"/>
      <c r="C57" s="20"/>
      <c r="D57" s="21" t="s">
        <v>63</v>
      </c>
      <c r="G57" s="19">
        <f>$E$2*(12*4)</f>
        <v>1600</v>
      </c>
      <c r="H57" s="20">
        <f t="shared" si="8"/>
        <v>0.54864000000000002</v>
      </c>
      <c r="I57" s="20">
        <f t="shared" si="9"/>
        <v>877.82400000000007</v>
      </c>
      <c r="J57" s="21"/>
    </row>
    <row r="58" spans="1:10">
      <c r="A58" s="19"/>
      <c r="B58" s="20" t="s">
        <v>66</v>
      </c>
      <c r="C58" s="20"/>
      <c r="D58" s="21">
        <f>1-(B59/D36)</f>
        <v>0.4608337746604334</v>
      </c>
      <c r="G58" s="19">
        <f>$E$2*(10*1)</f>
        <v>333.33333333333337</v>
      </c>
      <c r="H58" s="20">
        <f t="shared" si="8"/>
        <v>0.54864000000000002</v>
      </c>
      <c r="I58" s="20">
        <f t="shared" si="9"/>
        <v>182.88000000000002</v>
      </c>
      <c r="J58" s="21"/>
    </row>
    <row r="59" spans="1:10">
      <c r="A59" s="22"/>
      <c r="B59" s="23">
        <f>SUM(C18:C32)</f>
        <v>216183.41099387122</v>
      </c>
      <c r="C59" s="23"/>
      <c r="D59" s="24"/>
      <c r="G59" s="19">
        <f>$E$2*(12*3)</f>
        <v>1200</v>
      </c>
      <c r="H59" s="20">
        <f t="shared" si="8"/>
        <v>0.54864000000000002</v>
      </c>
      <c r="I59" s="20">
        <f t="shared" si="9"/>
        <v>658.36800000000005</v>
      </c>
      <c r="J59" s="21"/>
    </row>
    <row r="60" spans="1:10">
      <c r="G60" s="19">
        <f>$E$2*(15*3)</f>
        <v>1500</v>
      </c>
      <c r="H60" s="20">
        <f t="shared" si="8"/>
        <v>0.54864000000000002</v>
      </c>
      <c r="I60" s="20">
        <f t="shared" si="9"/>
        <v>822.96</v>
      </c>
      <c r="J60" s="21"/>
    </row>
    <row r="61" spans="1:10">
      <c r="G61" s="19">
        <f>$E$2*(5*1)</f>
        <v>166.66666666666669</v>
      </c>
      <c r="H61" s="20">
        <f t="shared" si="8"/>
        <v>0.54864000000000002</v>
      </c>
      <c r="I61" s="20">
        <f t="shared" si="9"/>
        <v>91.440000000000012</v>
      </c>
      <c r="J61" s="21"/>
    </row>
    <row r="62" spans="1:10">
      <c r="G62" s="19">
        <f>$E$2*(5*2)</f>
        <v>333.33333333333337</v>
      </c>
      <c r="H62" s="20">
        <f t="shared" si="8"/>
        <v>0.54864000000000002</v>
      </c>
      <c r="I62" s="20">
        <f t="shared" si="9"/>
        <v>182.88000000000002</v>
      </c>
      <c r="J62" s="21"/>
    </row>
    <row r="63" spans="1:10">
      <c r="G63" s="19">
        <f>$E$2*(4*6)</f>
        <v>800</v>
      </c>
      <c r="H63" s="20">
        <f t="shared" si="8"/>
        <v>0.54864000000000002</v>
      </c>
      <c r="I63" s="20">
        <f t="shared" si="9"/>
        <v>438.91200000000003</v>
      </c>
      <c r="J63" s="21"/>
    </row>
    <row r="64" spans="1:10">
      <c r="G64" s="19">
        <f>$E$2*(9*2)</f>
        <v>600</v>
      </c>
      <c r="H64" s="20">
        <f t="shared" si="8"/>
        <v>0.54864000000000002</v>
      </c>
      <c r="I64" s="20">
        <f t="shared" si="9"/>
        <v>329.18400000000003</v>
      </c>
      <c r="J64" s="21"/>
    </row>
    <row r="65" spans="7:10">
      <c r="G65" s="19">
        <f>$E$2*(1*5)</f>
        <v>166.66666666666669</v>
      </c>
      <c r="H65" s="20">
        <f t="shared" si="8"/>
        <v>0.54864000000000002</v>
      </c>
      <c r="I65" s="20">
        <f t="shared" si="9"/>
        <v>91.440000000000012</v>
      </c>
      <c r="J65" s="21"/>
    </row>
    <row r="66" spans="7:10">
      <c r="G66" s="19">
        <f>$E$2*(3*7)</f>
        <v>700</v>
      </c>
      <c r="H66" s="20">
        <f t="shared" si="8"/>
        <v>0.54864000000000002</v>
      </c>
      <c r="I66" s="20">
        <f t="shared" si="9"/>
        <v>384.048</v>
      </c>
      <c r="J66" s="21"/>
    </row>
    <row r="67" spans="7:10">
      <c r="G67" s="19">
        <f>$E$2*(8*1)</f>
        <v>266.66666666666669</v>
      </c>
      <c r="H67" s="20">
        <f t="shared" si="8"/>
        <v>0.54864000000000002</v>
      </c>
      <c r="I67" s="20">
        <f t="shared" si="9"/>
        <v>146.304</v>
      </c>
      <c r="J67" s="21"/>
    </row>
    <row r="68" spans="7:10">
      <c r="G68" s="19">
        <f>$E$2*(6*8)</f>
        <v>1600</v>
      </c>
      <c r="H68" s="20">
        <f t="shared" si="8"/>
        <v>0.54864000000000002</v>
      </c>
      <c r="I68" s="20">
        <f t="shared" si="9"/>
        <v>877.82400000000007</v>
      </c>
      <c r="J68" s="21"/>
    </row>
    <row r="69" spans="7:10">
      <c r="G69" s="19">
        <f>$E$2*(10*2)</f>
        <v>666.66666666666674</v>
      </c>
      <c r="H69" s="20">
        <f t="shared" si="8"/>
        <v>0.54864000000000002</v>
      </c>
      <c r="I69" s="20">
        <f t="shared" si="9"/>
        <v>365.76000000000005</v>
      </c>
      <c r="J69" s="21"/>
    </row>
    <row r="70" spans="7:10">
      <c r="G70" s="19">
        <f>$E$2*(0.5*6*8)</f>
        <v>800</v>
      </c>
      <c r="H70" s="20">
        <f t="shared" si="8"/>
        <v>0.54864000000000002</v>
      </c>
      <c r="I70" s="20">
        <f t="shared" si="9"/>
        <v>438.91200000000003</v>
      </c>
      <c r="J70" s="21"/>
    </row>
    <row r="71" spans="7:10">
      <c r="G71" s="19">
        <f>$E$2*(0.5*4*3)</f>
        <v>200</v>
      </c>
      <c r="H71" s="20">
        <f t="shared" si="8"/>
        <v>0.54864000000000002</v>
      </c>
      <c r="I71" s="20">
        <f t="shared" si="9"/>
        <v>109.72800000000001</v>
      </c>
      <c r="J71" s="21"/>
    </row>
    <row r="72" spans="7:10">
      <c r="G72" s="19">
        <f>$E$2*(0.5*4*3)</f>
        <v>200</v>
      </c>
      <c r="H72" s="20">
        <f t="shared" si="8"/>
        <v>0.54864000000000002</v>
      </c>
      <c r="I72" s="20">
        <f t="shared" si="9"/>
        <v>109.72800000000001</v>
      </c>
      <c r="J72" s="21"/>
    </row>
    <row r="73" spans="7:10">
      <c r="G73" s="19"/>
      <c r="H73" s="20"/>
      <c r="I73" s="20"/>
      <c r="J73" s="21" t="s">
        <v>1</v>
      </c>
    </row>
    <row r="74" spans="7:10">
      <c r="G74" s="22"/>
      <c r="H74" s="23"/>
      <c r="I74" s="23"/>
      <c r="J74" s="24">
        <f>1-(J52/J29)</f>
        <v>0.2224365724433639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41"/>
  <sheetViews>
    <sheetView workbookViewId="0">
      <selection activeCell="D15" sqref="D15"/>
    </sheetView>
  </sheetViews>
  <sheetFormatPr baseColWidth="10" defaultRowHeight="13"/>
  <cols>
    <col min="1" max="1" width="16.42578125" customWidth="1"/>
    <col min="2" max="2" width="22.5703125" customWidth="1"/>
    <col min="3" max="3" width="23.7109375" customWidth="1"/>
    <col min="4" max="4" width="16.28515625" customWidth="1"/>
    <col min="7" max="7" width="19" customWidth="1"/>
    <col min="8" max="8" width="15.85546875" customWidth="1"/>
    <col min="9" max="9" width="17.7109375" customWidth="1"/>
    <col min="10" max="10" width="16.7109375" customWidth="1"/>
  </cols>
  <sheetData>
    <row r="1" spans="1:12">
      <c r="A1" s="25" t="s">
        <v>3</v>
      </c>
      <c r="B1" s="39"/>
      <c r="C1" s="39"/>
      <c r="D1" s="39"/>
      <c r="E1" s="40" t="s">
        <v>4</v>
      </c>
      <c r="G1" s="46" t="s">
        <v>61</v>
      </c>
      <c r="H1" s="39"/>
      <c r="I1" s="39"/>
      <c r="J1" s="40"/>
      <c r="K1" s="41"/>
      <c r="L1" s="41"/>
    </row>
    <row r="2" spans="1:12">
      <c r="A2" s="27" t="s">
        <v>5</v>
      </c>
      <c r="B2" s="41">
        <v>3</v>
      </c>
      <c r="C2" s="41" t="s">
        <v>6</v>
      </c>
      <c r="D2" s="41">
        <v>100</v>
      </c>
      <c r="E2" s="42">
        <v>33.333333333333343</v>
      </c>
      <c r="G2" s="47" t="s">
        <v>81</v>
      </c>
      <c r="H2" s="45" t="s">
        <v>80</v>
      </c>
      <c r="I2" s="45" t="s">
        <v>82</v>
      </c>
      <c r="J2" s="42" t="s">
        <v>88</v>
      </c>
      <c r="K2" s="41"/>
      <c r="L2" s="41"/>
    </row>
    <row r="3" spans="1:12">
      <c r="A3" s="28" t="s">
        <v>7</v>
      </c>
      <c r="B3" s="43">
        <v>1</v>
      </c>
      <c r="C3" s="43" t="s">
        <v>6</v>
      </c>
      <c r="D3" s="43">
        <v>0.30480000000000002</v>
      </c>
      <c r="E3" s="44"/>
      <c r="G3" s="47">
        <f>$E$2*(1*4)</f>
        <v>133.33333333333337</v>
      </c>
      <c r="H3" s="45">
        <f>4.6*$D$3</f>
        <v>1.40208</v>
      </c>
      <c r="I3" s="45">
        <f>G3*H3</f>
        <v>186.94400000000005</v>
      </c>
      <c r="J3" s="42">
        <f>I3+(SUM(A18:A20)*B5)+$D$18</f>
        <v>14735.507644036925</v>
      </c>
      <c r="K3" s="41"/>
      <c r="L3" s="41"/>
    </row>
    <row r="4" spans="1:12">
      <c r="A4" s="33" t="s">
        <v>8</v>
      </c>
      <c r="B4" s="40" t="s">
        <v>9</v>
      </c>
      <c r="C4" s="41"/>
      <c r="D4" s="41"/>
      <c r="E4" s="41"/>
      <c r="G4" s="47"/>
      <c r="H4" s="45"/>
      <c r="I4" s="45"/>
      <c r="J4" s="42"/>
      <c r="K4" s="41"/>
      <c r="L4" s="41"/>
    </row>
    <row r="5" spans="1:12">
      <c r="A5" s="31">
        <v>9.1999999999999993</v>
      </c>
      <c r="B5" s="42">
        <f>A5*D3</f>
        <v>2.80416</v>
      </c>
      <c r="C5" s="41"/>
      <c r="D5" s="41"/>
      <c r="E5" s="41"/>
      <c r="G5" s="47" t="s">
        <v>62</v>
      </c>
      <c r="H5" s="45"/>
      <c r="I5" s="45"/>
      <c r="J5" s="42" t="s">
        <v>63</v>
      </c>
      <c r="K5" s="41"/>
      <c r="L5" s="41"/>
    </row>
    <row r="6" spans="1:12">
      <c r="A6" s="31">
        <v>8</v>
      </c>
      <c r="B6" s="42">
        <f>A6*D3</f>
        <v>2.4384000000000001</v>
      </c>
      <c r="C6" s="41"/>
      <c r="D6" s="41"/>
      <c r="E6" s="41"/>
      <c r="G6" s="47" t="s">
        <v>0</v>
      </c>
      <c r="H6" s="45" t="s">
        <v>88</v>
      </c>
      <c r="I6" s="45"/>
      <c r="J6" s="42">
        <f>1-(H7/J3)</f>
        <v>0.36437767772523366</v>
      </c>
      <c r="K6" s="41"/>
      <c r="L6" s="41"/>
    </row>
    <row r="7" spans="1:12">
      <c r="A7" s="35">
        <v>7.2</v>
      </c>
      <c r="B7" s="42">
        <f>A7*D3</f>
        <v>2.1945600000000001</v>
      </c>
      <c r="C7" s="41"/>
      <c r="D7" s="41"/>
      <c r="E7" s="41"/>
      <c r="G7" s="48">
        <f>B9*SUM(A18:A20)</f>
        <v>1337.3796272094467</v>
      </c>
      <c r="H7" s="43">
        <f>D18-G7</f>
        <v>9366.2175886003206</v>
      </c>
      <c r="I7" s="43"/>
      <c r="J7" s="44"/>
      <c r="K7" s="41"/>
      <c r="L7" s="41"/>
    </row>
    <row r="8" spans="1:12">
      <c r="A8" s="35">
        <v>3.6</v>
      </c>
      <c r="B8" s="42">
        <f>A8*D3</f>
        <v>1.09728</v>
      </c>
      <c r="C8" s="41"/>
      <c r="D8" s="41"/>
      <c r="E8" s="41"/>
      <c r="F8" s="29"/>
      <c r="G8" s="45"/>
      <c r="H8" s="45"/>
      <c r="I8" s="45"/>
      <c r="J8" s="45"/>
      <c r="K8" s="41"/>
      <c r="L8" s="41"/>
    </row>
    <row r="9" spans="1:12">
      <c r="A9" s="36">
        <v>3.2</v>
      </c>
      <c r="B9" s="44">
        <f>A9*D3</f>
        <v>0.97536000000000012</v>
      </c>
      <c r="C9" s="41"/>
      <c r="D9" s="41"/>
      <c r="E9" s="41"/>
      <c r="F9" s="29"/>
      <c r="G9" s="46" t="s">
        <v>64</v>
      </c>
      <c r="H9" s="39"/>
      <c r="I9" s="39"/>
      <c r="J9" s="40"/>
      <c r="K9" s="41"/>
      <c r="L9" s="41"/>
    </row>
    <row r="10" spans="1:12">
      <c r="B10" s="41"/>
      <c r="C10" s="41"/>
      <c r="D10" s="41"/>
      <c r="E10" s="41"/>
      <c r="F10" s="29"/>
      <c r="G10" s="47" t="s">
        <v>81</v>
      </c>
      <c r="H10" s="45" t="s">
        <v>80</v>
      </c>
      <c r="I10" s="45" t="s">
        <v>82</v>
      </c>
      <c r="J10" s="42" t="s">
        <v>66</v>
      </c>
      <c r="K10" s="41"/>
      <c r="L10" s="41"/>
    </row>
    <row r="11" spans="1:12">
      <c r="A11" s="25" t="s">
        <v>10</v>
      </c>
      <c r="B11" s="39" t="s">
        <v>11</v>
      </c>
      <c r="C11" s="39" t="s">
        <v>13</v>
      </c>
      <c r="D11" s="40" t="s">
        <v>31</v>
      </c>
      <c r="F11" s="29"/>
      <c r="G11" s="47">
        <f>$E$2*(1*4)</f>
        <v>133.33333333333337</v>
      </c>
      <c r="H11" s="45">
        <f>3.6*$D$3</f>
        <v>1.09728</v>
      </c>
      <c r="I11" s="45">
        <f>G11*H11</f>
        <v>146.30400000000006</v>
      </c>
      <c r="J11" s="42">
        <f>I11+(SUM(A18:A20)*B7)+$D$18</f>
        <v>13859.005377031022</v>
      </c>
      <c r="K11" s="41"/>
      <c r="L11" s="41"/>
    </row>
    <row r="12" spans="1:12">
      <c r="A12" s="35" t="s">
        <v>33</v>
      </c>
      <c r="B12" s="45">
        <f>J3-H7</f>
        <v>5369.2900554366042</v>
      </c>
      <c r="C12" s="45">
        <f>B12*2</f>
        <v>10738.580110873208</v>
      </c>
      <c r="D12" s="42">
        <f>J3/C12</f>
        <v>1.3722026089014021</v>
      </c>
      <c r="F12" s="29"/>
      <c r="G12" s="47"/>
      <c r="H12" s="45"/>
      <c r="I12" s="45"/>
      <c r="J12" s="42"/>
      <c r="K12" s="41"/>
      <c r="L12" s="41"/>
    </row>
    <row r="13" spans="1:12">
      <c r="A13" s="32" t="s">
        <v>12</v>
      </c>
      <c r="B13" s="45">
        <f>D24-B27</f>
        <v>3506.0090680236171</v>
      </c>
      <c r="C13" s="45">
        <f>B13*2</f>
        <v>7012.0181360472343</v>
      </c>
      <c r="D13" s="42">
        <f>D24/C13</f>
        <v>2.0264645652846989</v>
      </c>
      <c r="E13" s="41">
        <f>AVERAGE(D12,D14)</f>
        <v>2.8821730436559205</v>
      </c>
      <c r="G13" s="47" t="s">
        <v>65</v>
      </c>
      <c r="H13" s="45"/>
      <c r="I13" s="45"/>
      <c r="J13" s="42"/>
      <c r="K13" s="41"/>
      <c r="L13" s="41"/>
    </row>
    <row r="14" spans="1:12">
      <c r="A14" s="30" t="s">
        <v>32</v>
      </c>
      <c r="B14" s="43">
        <f>J11-J15</f>
        <v>1577.7040806106288</v>
      </c>
      <c r="C14" s="43">
        <f>B14*2</f>
        <v>3155.4081612212576</v>
      </c>
      <c r="D14" s="44">
        <f>J11/C14</f>
        <v>4.3921434784104392</v>
      </c>
      <c r="G14" s="47" t="s">
        <v>81</v>
      </c>
      <c r="H14" s="45" t="s">
        <v>80</v>
      </c>
      <c r="I14" s="45" t="s">
        <v>82</v>
      </c>
      <c r="J14" s="42" t="s">
        <v>66</v>
      </c>
      <c r="K14" s="41"/>
      <c r="L14" s="41"/>
    </row>
    <row r="15" spans="1:12">
      <c r="G15" s="47">
        <v>133.33333333333343</v>
      </c>
      <c r="H15" s="45">
        <f>1.8*D3</f>
        <v>0.54864000000000002</v>
      </c>
      <c r="I15" s="45">
        <f>H15*G15</f>
        <v>73.152000000000058</v>
      </c>
      <c r="J15" s="42">
        <f>I15+(SUM(A18:A20)*B8)+D18</f>
        <v>12281.301296420394</v>
      </c>
      <c r="K15" s="41"/>
      <c r="L15" s="41"/>
    </row>
    <row r="16" spans="1:12">
      <c r="A16" s="15" t="s">
        <v>87</v>
      </c>
      <c r="B16" s="39"/>
      <c r="C16" s="39"/>
      <c r="D16" s="40"/>
      <c r="G16" s="47"/>
      <c r="H16" s="45"/>
      <c r="I16" s="45"/>
      <c r="J16" s="42" t="s">
        <v>63</v>
      </c>
      <c r="K16" s="41"/>
      <c r="L16" s="41"/>
    </row>
    <row r="17" spans="1:12">
      <c r="A17" s="19" t="s">
        <v>83</v>
      </c>
      <c r="B17" s="45" t="s">
        <v>84</v>
      </c>
      <c r="C17" s="45" t="s">
        <v>85</v>
      </c>
      <c r="D17" s="42" t="s">
        <v>88</v>
      </c>
      <c r="G17" s="48"/>
      <c r="H17" s="43"/>
      <c r="I17" s="43"/>
      <c r="J17" s="44">
        <f>1-(J15/J11)</f>
        <v>0.11383963262078023</v>
      </c>
      <c r="K17" s="41"/>
      <c r="L17" s="41"/>
    </row>
    <row r="18" spans="1:12">
      <c r="A18" s="19">
        <f>$E$2*(PI()*(2.5^2))</f>
        <v>654.49846949787377</v>
      </c>
      <c r="B18" s="45">
        <f>AVERAGE(2,6,18,0,47)*D3</f>
        <v>4.4500799999999998</v>
      </c>
      <c r="C18" s="45">
        <f>B18*A18</f>
        <v>2912.5705491430981</v>
      </c>
      <c r="D18" s="42">
        <f>SUM(C18:C20)</f>
        <v>10703.597215809767</v>
      </c>
      <c r="G18" s="41"/>
      <c r="H18" s="41"/>
      <c r="I18" s="41"/>
      <c r="J18" s="41"/>
      <c r="K18" s="41"/>
      <c r="L18" s="41"/>
    </row>
    <row r="19" spans="1:12">
      <c r="A19" s="27">
        <f>$E$2*(0.5*5*5)</f>
        <v>416.6666666666668</v>
      </c>
      <c r="B19" s="45">
        <f>D3*AVERAGE(47,60,0)</f>
        <v>10.8712</v>
      </c>
      <c r="C19" s="45">
        <f>B19*A19</f>
        <v>4529.6666666666679</v>
      </c>
      <c r="D19" s="42"/>
      <c r="G19" s="41"/>
      <c r="H19" s="41"/>
      <c r="I19" s="41"/>
      <c r="J19" s="41"/>
      <c r="K19" s="41"/>
      <c r="L19" s="41"/>
    </row>
    <row r="20" spans="1:12">
      <c r="A20" s="22">
        <f>E2*(3*3)</f>
        <v>300.00000000000011</v>
      </c>
      <c r="B20" s="43">
        <f>D3*AVERAGE(47,0,60)</f>
        <v>10.8712</v>
      </c>
      <c r="C20" s="43">
        <f>B20*A20</f>
        <v>3261.360000000001</v>
      </c>
      <c r="D20" s="44"/>
      <c r="G20" s="20"/>
      <c r="H20" s="20"/>
      <c r="J20" s="20"/>
    </row>
    <row r="21" spans="1:12">
      <c r="A21" s="19"/>
      <c r="B21" s="45"/>
      <c r="C21" s="45"/>
      <c r="D21" s="42"/>
      <c r="E21" s="41"/>
      <c r="G21" s="20"/>
      <c r="H21" s="20"/>
      <c r="J21" s="20"/>
    </row>
    <row r="22" spans="1:12">
      <c r="A22" s="25" t="s">
        <v>68</v>
      </c>
      <c r="B22" s="39"/>
      <c r="C22" s="39"/>
      <c r="D22" s="40"/>
      <c r="E22" s="41"/>
      <c r="G22" s="20"/>
      <c r="H22" s="20"/>
      <c r="I22" s="20"/>
      <c r="J22" s="20"/>
    </row>
    <row r="23" spans="1:12">
      <c r="A23" s="32" t="s">
        <v>81</v>
      </c>
      <c r="B23" s="45" t="s">
        <v>80</v>
      </c>
      <c r="C23" s="45" t="s">
        <v>82</v>
      </c>
      <c r="D23" s="42" t="s">
        <v>66</v>
      </c>
      <c r="E23" s="41"/>
      <c r="G23" s="20"/>
      <c r="H23" s="20"/>
      <c r="I23" s="20"/>
      <c r="J23" s="20"/>
    </row>
    <row r="24" spans="1:12">
      <c r="A24" s="32">
        <f>$E$2*(1*4)</f>
        <v>133.33333333333337</v>
      </c>
      <c r="B24" s="45">
        <f>4*$D$3</f>
        <v>1.2192000000000001</v>
      </c>
      <c r="C24" s="45">
        <f>A24*B24</f>
        <v>162.56000000000006</v>
      </c>
      <c r="D24" s="42">
        <f>C24+(SUM(A18:A20)*B6)+$D$18</f>
        <v>14209.606283833384</v>
      </c>
      <c r="E24" s="41"/>
      <c r="G24" s="20"/>
      <c r="H24" s="20"/>
      <c r="I24" s="20"/>
      <c r="J24" s="20"/>
    </row>
    <row r="25" spans="1:12">
      <c r="A25" s="32" t="s">
        <v>87</v>
      </c>
      <c r="B25" s="45"/>
      <c r="C25" s="45"/>
      <c r="D25" s="42" t="s">
        <v>63</v>
      </c>
      <c r="E25" s="41"/>
      <c r="G25" s="20"/>
      <c r="H25" s="20"/>
      <c r="I25" s="20"/>
      <c r="J25" s="20"/>
    </row>
    <row r="26" spans="1:12">
      <c r="A26" s="32"/>
      <c r="B26" s="45" t="s">
        <v>88</v>
      </c>
      <c r="C26" s="45"/>
      <c r="D26" s="42">
        <f>1-(B27/D24)</f>
        <v>0.24673513100869582</v>
      </c>
      <c r="E26" s="41"/>
      <c r="G26" s="20"/>
      <c r="H26" s="20"/>
      <c r="I26" s="20"/>
      <c r="J26" s="20"/>
    </row>
    <row r="27" spans="1:12">
      <c r="A27" s="28"/>
      <c r="B27" s="43">
        <f>D18</f>
        <v>10703.597215809767</v>
      </c>
      <c r="C27" s="43"/>
      <c r="D27" s="44"/>
      <c r="E27" s="41"/>
      <c r="G27" s="20"/>
      <c r="H27" s="20"/>
      <c r="I27" s="20"/>
      <c r="J27" s="20"/>
    </row>
    <row r="28" spans="1:12">
      <c r="A28" s="19"/>
      <c r="B28" s="45"/>
      <c r="C28" s="45"/>
      <c r="D28" s="45"/>
      <c r="E28" s="41"/>
      <c r="G28" s="20"/>
      <c r="H28" s="20"/>
      <c r="I28" s="20"/>
      <c r="J28" s="20"/>
    </row>
    <row r="29" spans="1:12">
      <c r="E29" s="41"/>
    </row>
    <row r="30" spans="1:12">
      <c r="E30" s="41"/>
    </row>
    <row r="31" spans="1:12">
      <c r="E31" s="41"/>
    </row>
    <row r="32" spans="1:12">
      <c r="E32" s="41"/>
      <c r="G32" s="20"/>
      <c r="H32" s="20"/>
      <c r="I32" s="20"/>
      <c r="J32" s="20"/>
    </row>
    <row r="33" spans="1:10">
      <c r="E33" s="45"/>
      <c r="G33" s="20"/>
      <c r="H33" s="20"/>
      <c r="I33" s="20"/>
      <c r="J33" s="20"/>
    </row>
    <row r="34" spans="1:10">
      <c r="A34" s="19"/>
      <c r="B34" s="45"/>
      <c r="C34" s="41"/>
      <c r="D34" s="45"/>
      <c r="E34" s="45"/>
      <c r="G34" s="20"/>
      <c r="H34" s="20"/>
      <c r="I34" s="20"/>
      <c r="J34" s="20"/>
    </row>
    <row r="35" spans="1:10">
      <c r="E35" s="45"/>
      <c r="G35" s="20"/>
      <c r="H35" s="20"/>
      <c r="I35" s="20"/>
      <c r="J35" s="20"/>
    </row>
    <row r="36" spans="1:10">
      <c r="E36" s="41"/>
      <c r="G36" s="20"/>
      <c r="H36" s="20"/>
      <c r="I36" s="20"/>
      <c r="J36" s="20"/>
    </row>
    <row r="37" spans="1:10">
      <c r="E37" s="41"/>
      <c r="G37" s="20"/>
      <c r="H37" s="20"/>
      <c r="I37" s="20"/>
      <c r="J37" s="20"/>
    </row>
    <row r="38" spans="1:10">
      <c r="E38" s="41"/>
      <c r="G38" s="20"/>
      <c r="H38" s="20"/>
      <c r="I38" s="20"/>
      <c r="J38" s="20"/>
    </row>
    <row r="39" spans="1:10">
      <c r="B39" s="41"/>
      <c r="C39" s="41"/>
      <c r="D39" s="41"/>
      <c r="E39" s="41"/>
      <c r="G39" s="20"/>
      <c r="H39" s="20"/>
      <c r="I39" s="20"/>
      <c r="J39" s="20"/>
    </row>
    <row r="40" spans="1:10">
      <c r="G40" s="20"/>
      <c r="H40" s="20"/>
      <c r="I40" s="20"/>
    </row>
    <row r="41" spans="1:10">
      <c r="G41" s="20"/>
      <c r="H41" s="20"/>
      <c r="I41" s="20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7"/>
  <sheetViews>
    <sheetView workbookViewId="0">
      <selection activeCell="D15" sqref="D15"/>
    </sheetView>
  </sheetViews>
  <sheetFormatPr baseColWidth="10" defaultRowHeight="13"/>
  <cols>
    <col min="1" max="1" width="13.85546875" style="38" customWidth="1"/>
    <col min="2" max="2" width="22.85546875" style="38" customWidth="1"/>
    <col min="3" max="3" width="22.5703125" style="38" customWidth="1"/>
    <col min="4" max="4" width="16.140625" style="38" customWidth="1"/>
    <col min="5" max="6" width="10.7109375" style="38"/>
    <col min="7" max="7" width="17.28515625" style="38" customWidth="1"/>
    <col min="8" max="8" width="13.7109375" style="38" customWidth="1"/>
    <col min="9" max="9" width="16.140625" style="38" customWidth="1"/>
    <col min="10" max="10" width="16.28515625" style="38" customWidth="1"/>
    <col min="11" max="16384" width="10.7109375" style="38"/>
  </cols>
  <sheetData>
    <row r="1" spans="1:10">
      <c r="A1" s="49" t="s">
        <v>3</v>
      </c>
      <c r="B1" s="50"/>
      <c r="C1" s="50"/>
      <c r="D1" s="50"/>
      <c r="E1" s="51" t="s">
        <v>4</v>
      </c>
      <c r="G1" s="49" t="s">
        <v>61</v>
      </c>
      <c r="H1" s="50"/>
      <c r="I1" s="50"/>
      <c r="J1" s="51"/>
    </row>
    <row r="2" spans="1:10">
      <c r="A2" s="52" t="s">
        <v>5</v>
      </c>
      <c r="B2" s="38">
        <v>3</v>
      </c>
      <c r="C2" s="38" t="s">
        <v>6</v>
      </c>
      <c r="D2" s="38">
        <v>100</v>
      </c>
      <c r="E2" s="53">
        <v>33.333333333333343</v>
      </c>
      <c r="G2" s="52" t="s">
        <v>81</v>
      </c>
      <c r="H2" s="54" t="s">
        <v>80</v>
      </c>
      <c r="I2" s="54" t="s">
        <v>82</v>
      </c>
      <c r="J2" s="53" t="s">
        <v>66</v>
      </c>
    </row>
    <row r="3" spans="1:10">
      <c r="A3" s="55" t="s">
        <v>7</v>
      </c>
      <c r="B3" s="56">
        <v>1</v>
      </c>
      <c r="C3" s="56" t="s">
        <v>6</v>
      </c>
      <c r="D3" s="56">
        <v>0.30480000000000002</v>
      </c>
      <c r="E3" s="57"/>
      <c r="G3" s="52">
        <f>$E$2*(1*4)</f>
        <v>133.33333333333337</v>
      </c>
      <c r="H3" s="54">
        <f>4.6*$D$3</f>
        <v>1.40208</v>
      </c>
      <c r="I3" s="54">
        <f>G3*H3</f>
        <v>186.94400000000005</v>
      </c>
      <c r="J3" s="53">
        <f>I3+(SUM(A18:A30)*B5)+$D$18</f>
        <v>395141.94784000015</v>
      </c>
    </row>
    <row r="4" spans="1:10">
      <c r="A4" s="58" t="s">
        <v>8</v>
      </c>
      <c r="B4" s="51" t="s">
        <v>9</v>
      </c>
      <c r="G4" s="52"/>
      <c r="H4" s="54"/>
      <c r="I4" s="54"/>
      <c r="J4" s="53"/>
    </row>
    <row r="5" spans="1:10">
      <c r="A5" s="59">
        <v>9.1999999999999993</v>
      </c>
      <c r="B5" s="53">
        <f>A5*D3</f>
        <v>2.80416</v>
      </c>
      <c r="G5" s="52" t="s">
        <v>62</v>
      </c>
      <c r="H5" s="54"/>
      <c r="I5" s="54"/>
      <c r="J5" s="53" t="s">
        <v>63</v>
      </c>
    </row>
    <row r="6" spans="1:10">
      <c r="A6" s="59">
        <v>8</v>
      </c>
      <c r="B6" s="53">
        <f>A6*D3</f>
        <v>2.4384000000000001</v>
      </c>
      <c r="G6" s="52" t="s">
        <v>0</v>
      </c>
      <c r="H6" s="54" t="s">
        <v>66</v>
      </c>
      <c r="I6" s="54"/>
      <c r="J6" s="53">
        <f>1-(H7/J3)</f>
        <v>0.44352879019304881</v>
      </c>
    </row>
    <row r="7" spans="1:10">
      <c r="A7" s="52">
        <v>7.2</v>
      </c>
      <c r="B7" s="53">
        <f>A7*D3</f>
        <v>2.1945600000000001</v>
      </c>
      <c r="G7" s="55">
        <f>B9*SUM(A18:A30)</f>
        <v>45179.325440000022</v>
      </c>
      <c r="H7" s="56">
        <f>D18-G7</f>
        <v>219885.11776000008</v>
      </c>
      <c r="I7" s="56"/>
      <c r="J7" s="57"/>
    </row>
    <row r="8" spans="1:10">
      <c r="A8" s="52">
        <v>3.6</v>
      </c>
      <c r="B8" s="53">
        <f>A8*D3</f>
        <v>1.09728</v>
      </c>
      <c r="F8" s="54"/>
      <c r="G8" s="54"/>
      <c r="H8" s="54"/>
      <c r="I8" s="54"/>
      <c r="J8" s="54"/>
    </row>
    <row r="9" spans="1:10">
      <c r="A9" s="60">
        <v>3.2</v>
      </c>
      <c r="B9" s="57">
        <f>A9*D3</f>
        <v>0.97536000000000012</v>
      </c>
      <c r="F9" s="54"/>
      <c r="G9" s="49" t="s">
        <v>64</v>
      </c>
      <c r="H9" s="50"/>
      <c r="I9" s="50"/>
      <c r="J9" s="51"/>
    </row>
    <row r="10" spans="1:10">
      <c r="F10" s="54"/>
      <c r="G10" s="52" t="s">
        <v>81</v>
      </c>
      <c r="H10" s="54" t="s">
        <v>80</v>
      </c>
      <c r="I10" s="54" t="s">
        <v>82</v>
      </c>
      <c r="J10" s="53" t="s">
        <v>66</v>
      </c>
    </row>
    <row r="11" spans="1:10">
      <c r="A11" s="49" t="s">
        <v>10</v>
      </c>
      <c r="B11" s="50" t="s">
        <v>11</v>
      </c>
      <c r="C11" s="50" t="s">
        <v>13</v>
      </c>
      <c r="D11" s="51" t="s">
        <v>31</v>
      </c>
      <c r="F11" s="54"/>
      <c r="G11" s="52">
        <f>$E$2*(1*4)</f>
        <v>133.33333333333337</v>
      </c>
      <c r="H11" s="54">
        <f>3.6*$D$3</f>
        <v>1.09728</v>
      </c>
      <c r="I11" s="54">
        <f>G11*H11</f>
        <v>146.30400000000006</v>
      </c>
      <c r="J11" s="53">
        <f>I11+(SUM(A18:A30)*B7)+$D$18</f>
        <v>366864.22944000014</v>
      </c>
    </row>
    <row r="12" spans="1:10">
      <c r="A12" s="52" t="s">
        <v>33</v>
      </c>
      <c r="B12" s="54">
        <f>J3-H7</f>
        <v>175256.83008000007</v>
      </c>
      <c r="C12" s="54">
        <f>B12*2</f>
        <v>350513.66016000014</v>
      </c>
      <c r="D12" s="53">
        <f>J3/C12</f>
        <v>1.1273225347612084</v>
      </c>
      <c r="F12" s="54"/>
      <c r="G12" s="52"/>
      <c r="H12" s="54"/>
      <c r="I12" s="54"/>
      <c r="J12" s="53"/>
    </row>
    <row r="13" spans="1:10">
      <c r="A13" s="52" t="s">
        <v>12</v>
      </c>
      <c r="B13" s="54">
        <f>D34-B37</f>
        <v>113761.11360000004</v>
      </c>
      <c r="C13" s="54">
        <f>B13*2</f>
        <v>227522.22720000008</v>
      </c>
      <c r="D13" s="53">
        <f>D34/C13</f>
        <v>1.6650046083937069</v>
      </c>
      <c r="E13" s="38">
        <f>AVERAGE(D12,D14)</f>
        <v>2.3655522289936881</v>
      </c>
      <c r="G13" s="52" t="s">
        <v>65</v>
      </c>
      <c r="H13" s="54"/>
      <c r="I13" s="54"/>
      <c r="J13" s="53"/>
    </row>
    <row r="14" spans="1:10">
      <c r="A14" s="55" t="s">
        <v>32</v>
      </c>
      <c r="B14" s="56">
        <f>J11-J15</f>
        <v>50899.893120000022</v>
      </c>
      <c r="C14" s="56">
        <f>B14*2</f>
        <v>101799.78624000004</v>
      </c>
      <c r="D14" s="57">
        <f>J11/C14</f>
        <v>3.6037819232261676</v>
      </c>
      <c r="G14" s="52" t="s">
        <v>81</v>
      </c>
      <c r="H14" s="54" t="s">
        <v>80</v>
      </c>
      <c r="I14" s="54" t="s">
        <v>82</v>
      </c>
      <c r="J14" s="53" t="s">
        <v>66</v>
      </c>
    </row>
    <row r="15" spans="1:10">
      <c r="G15" s="52">
        <v>133.33333333333343</v>
      </c>
      <c r="H15" s="54">
        <f>1.8*D3</f>
        <v>0.54864000000000002</v>
      </c>
      <c r="I15" s="54">
        <f>H15*G15</f>
        <v>73.152000000000058</v>
      </c>
      <c r="J15" s="53">
        <f>I15+(SUM(A18:A30)*B8)+D18</f>
        <v>315964.33632000012</v>
      </c>
    </row>
    <row r="16" spans="1:10">
      <c r="A16" s="49" t="s">
        <v>87</v>
      </c>
      <c r="B16" s="50"/>
      <c r="C16" s="50"/>
      <c r="D16" s="51"/>
      <c r="G16" s="52"/>
      <c r="H16" s="54"/>
      <c r="I16" s="54"/>
      <c r="J16" s="53" t="s">
        <v>63</v>
      </c>
    </row>
    <row r="17" spans="1:10">
      <c r="A17" s="52" t="s">
        <v>83</v>
      </c>
      <c r="B17" s="54" t="s">
        <v>84</v>
      </c>
      <c r="C17" s="54" t="s">
        <v>85</v>
      </c>
      <c r="D17" s="53" t="s">
        <v>66</v>
      </c>
      <c r="G17" s="55"/>
      <c r="H17" s="56"/>
      <c r="I17" s="56"/>
      <c r="J17" s="57">
        <f>1-(J15/J11)</f>
        <v>0.13874313447701392</v>
      </c>
    </row>
    <row r="18" spans="1:10">
      <c r="A18" s="52">
        <f>$E$2*(8*23)</f>
        <v>6133.3333333333348</v>
      </c>
      <c r="B18" s="54">
        <f>AVERAGE(2,6,9,12,18)*D3</f>
        <v>2.8651200000000001</v>
      </c>
      <c r="C18" s="54">
        <f>B18*A18</f>
        <v>17572.736000000004</v>
      </c>
      <c r="D18" s="53">
        <f>SUM(C18:C30)</f>
        <v>265064.4432000001</v>
      </c>
    </row>
    <row r="19" spans="1:10">
      <c r="A19" s="52">
        <f>$E$2*(2*14)</f>
        <v>933.3333333333336</v>
      </c>
      <c r="B19" s="54">
        <f>AVERAGE(31,0)*D3</f>
        <v>4.7244000000000002</v>
      </c>
      <c r="C19" s="54">
        <f>B19*A19</f>
        <v>4409.4400000000014</v>
      </c>
      <c r="D19" s="53"/>
    </row>
    <row r="20" spans="1:10">
      <c r="A20" s="52">
        <f>$E$2*(17*9)</f>
        <v>5100.0000000000018</v>
      </c>
      <c r="B20" s="54">
        <f>AVERAGE(27,22,0)*D3</f>
        <v>4.9783999999999997</v>
      </c>
      <c r="C20" s="54">
        <f>B20*A20</f>
        <v>25389.840000000007</v>
      </c>
      <c r="D20" s="53"/>
      <c r="G20" s="54"/>
      <c r="H20" s="54"/>
      <c r="J20" s="54"/>
    </row>
    <row r="21" spans="1:10">
      <c r="A21" s="52">
        <f>$E$2*(11*6)</f>
        <v>2200.0000000000005</v>
      </c>
      <c r="B21" s="54">
        <f>AVERAGE(31,31,0)*D3</f>
        <v>6.2992000000000008</v>
      </c>
      <c r="C21" s="54">
        <f t="shared" ref="C21:C30" si="0">B21*A21</f>
        <v>13858.240000000005</v>
      </c>
      <c r="D21" s="53"/>
      <c r="G21" s="54"/>
      <c r="H21" s="54"/>
      <c r="J21" s="54"/>
    </row>
    <row r="22" spans="1:10">
      <c r="A22" s="52">
        <f>$E$2*(20*5)</f>
        <v>3333.3333333333344</v>
      </c>
      <c r="B22" s="54">
        <f>AVERAGE(29,30,18,0)*D3</f>
        <v>5.8673999999999999</v>
      </c>
      <c r="C22" s="54">
        <f t="shared" si="0"/>
        <v>19558.000000000007</v>
      </c>
      <c r="D22" s="53"/>
      <c r="G22" s="54"/>
      <c r="H22" s="54"/>
      <c r="I22" s="54"/>
      <c r="J22" s="54"/>
    </row>
    <row r="23" spans="1:10">
      <c r="A23" s="52">
        <f>$E$2*(0.5*3*17)</f>
        <v>850.00000000000023</v>
      </c>
      <c r="B23" s="54">
        <f>AVERAGE(28,18,30,0)*D3</f>
        <v>5.7911999999999999</v>
      </c>
      <c r="C23" s="54">
        <f t="shared" si="0"/>
        <v>4922.5200000000013</v>
      </c>
      <c r="D23" s="53"/>
      <c r="G23" s="54"/>
      <c r="H23" s="54"/>
      <c r="I23" s="54"/>
      <c r="J23" s="54"/>
    </row>
    <row r="24" spans="1:10">
      <c r="A24" s="52">
        <f>$E$2*(19*14)</f>
        <v>8866.6666666666697</v>
      </c>
      <c r="B24" s="54">
        <f>AVERAGE(12,28,31,29,0)*D3</f>
        <v>6.0960000000000001</v>
      </c>
      <c r="C24" s="54">
        <f t="shared" si="0"/>
        <v>54051.200000000019</v>
      </c>
      <c r="D24" s="53"/>
      <c r="G24" s="54"/>
      <c r="H24" s="54"/>
      <c r="I24" s="54"/>
      <c r="J24" s="54"/>
    </row>
    <row r="25" spans="1:10">
      <c r="A25" s="52">
        <f>$E$2*(14.72*8.5)</f>
        <v>4170.6666666666679</v>
      </c>
      <c r="B25" s="54">
        <f>AVERAGE(28,29)*D3</f>
        <v>8.6867999999999999</v>
      </c>
      <c r="C25" s="54">
        <f t="shared" si="0"/>
        <v>36229.747200000013</v>
      </c>
      <c r="D25" s="53"/>
      <c r="G25" s="54"/>
      <c r="H25" s="54"/>
      <c r="I25" s="54"/>
      <c r="J25" s="54"/>
    </row>
    <row r="26" spans="1:10">
      <c r="A26" s="52">
        <f>$E$2*(20*10)</f>
        <v>6666.6666666666688</v>
      </c>
      <c r="B26" s="54">
        <f>AVERAGE(33,8,10)*D3</f>
        <v>5.1816000000000004</v>
      </c>
      <c r="C26" s="54">
        <f t="shared" si="0"/>
        <v>34544.000000000015</v>
      </c>
      <c r="D26" s="53"/>
      <c r="G26" s="54"/>
      <c r="H26" s="54"/>
      <c r="I26" s="54"/>
      <c r="J26" s="54"/>
    </row>
    <row r="27" spans="1:10">
      <c r="A27" s="52">
        <f>$E$2*(3*17)</f>
        <v>1700.0000000000005</v>
      </c>
      <c r="B27" s="54">
        <f>AVERAGE(13,0)*D3</f>
        <v>1.9812000000000001</v>
      </c>
      <c r="C27" s="54">
        <f t="shared" si="0"/>
        <v>3368.0400000000009</v>
      </c>
      <c r="D27" s="53"/>
      <c r="G27" s="54"/>
      <c r="H27" s="54"/>
      <c r="I27" s="54"/>
      <c r="J27" s="54"/>
    </row>
    <row r="28" spans="1:10">
      <c r="A28" s="52">
        <f>$E$2*(9*3)</f>
        <v>900.00000000000023</v>
      </c>
      <c r="B28" s="54">
        <f>AVERAGE(13,0)*D3</f>
        <v>1.9812000000000001</v>
      </c>
      <c r="C28" s="54">
        <f t="shared" si="0"/>
        <v>1783.0800000000006</v>
      </c>
      <c r="D28" s="53"/>
      <c r="G28" s="54"/>
      <c r="H28" s="54"/>
      <c r="I28" s="54"/>
      <c r="J28" s="54"/>
    </row>
    <row r="29" spans="1:10">
      <c r="A29" s="52">
        <f>$E$2*(0.5*8*19)</f>
        <v>2533.3333333333339</v>
      </c>
      <c r="B29" s="54">
        <f>AVERAGE(3,26,10)*D3</f>
        <v>3.9624000000000001</v>
      </c>
      <c r="C29" s="54">
        <f t="shared" si="0"/>
        <v>10038.080000000004</v>
      </c>
      <c r="D29" s="53"/>
    </row>
    <row r="30" spans="1:10">
      <c r="A30" s="55">
        <f>$E$2*(0.5*22*8)</f>
        <v>2933.3333333333339</v>
      </c>
      <c r="B30" s="56">
        <f>AVERAGE(26,10,96)*D3</f>
        <v>13.411200000000001</v>
      </c>
      <c r="C30" s="56">
        <f t="shared" si="0"/>
        <v>39339.520000000011</v>
      </c>
      <c r="D30" s="57"/>
    </row>
    <row r="31" spans="1:10">
      <c r="A31" s="52"/>
      <c r="B31" s="54"/>
      <c r="C31" s="54"/>
      <c r="D31" s="53"/>
    </row>
    <row r="32" spans="1:10">
      <c r="A32" s="49" t="s">
        <v>68</v>
      </c>
      <c r="B32" s="50"/>
      <c r="C32" s="50"/>
      <c r="D32" s="51"/>
    </row>
    <row r="33" spans="1:4">
      <c r="A33" s="52" t="s">
        <v>81</v>
      </c>
      <c r="B33" s="54" t="s">
        <v>80</v>
      </c>
      <c r="C33" s="54" t="s">
        <v>82</v>
      </c>
      <c r="D33" s="53" t="s">
        <v>66</v>
      </c>
    </row>
    <row r="34" spans="1:4">
      <c r="A34" s="52">
        <f>$E$2*(10*2)</f>
        <v>666.66666666666686</v>
      </c>
      <c r="B34" s="54">
        <f>4*$D$3</f>
        <v>1.2192000000000001</v>
      </c>
      <c r="C34" s="54">
        <f>A34*B34</f>
        <v>812.8000000000003</v>
      </c>
      <c r="D34" s="53">
        <f>C34+(SUM(A18:A30)*B6)+$D$18</f>
        <v>378825.55680000014</v>
      </c>
    </row>
    <row r="35" spans="1:4">
      <c r="A35" s="52" t="s">
        <v>87</v>
      </c>
      <c r="B35" s="54"/>
      <c r="C35" s="54"/>
      <c r="D35" s="53" t="s">
        <v>63</v>
      </c>
    </row>
    <row r="36" spans="1:4">
      <c r="A36" s="52"/>
      <c r="B36" s="54" t="s">
        <v>66</v>
      </c>
      <c r="C36" s="54"/>
      <c r="D36" s="53">
        <f>1-(B37/D34)</f>
        <v>0.30029946913021999</v>
      </c>
    </row>
    <row r="37" spans="1:4">
      <c r="A37" s="55"/>
      <c r="B37" s="56">
        <f>D18</f>
        <v>265064.4432000001</v>
      </c>
      <c r="C37" s="56"/>
      <c r="D37" s="57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13"/>
  <sheetViews>
    <sheetView tabSelected="1" workbookViewId="0">
      <selection activeCell="A12" sqref="A12"/>
    </sheetView>
  </sheetViews>
  <sheetFormatPr baseColWidth="10" defaultRowHeight="13"/>
  <cols>
    <col min="1" max="1" width="25.7109375" customWidth="1"/>
    <col min="2" max="2" width="19.140625" customWidth="1"/>
    <col min="3" max="3" width="18.85546875" customWidth="1"/>
    <col min="4" max="4" width="15.7109375" customWidth="1"/>
  </cols>
  <sheetData>
    <row r="1" spans="1:4">
      <c r="A1" t="s">
        <v>22</v>
      </c>
      <c r="B1" t="s">
        <v>17</v>
      </c>
      <c r="C1" t="s">
        <v>18</v>
      </c>
      <c r="D1" t="s">
        <v>19</v>
      </c>
    </row>
    <row r="2" spans="1:4">
      <c r="A2" t="s">
        <v>24</v>
      </c>
      <c r="B2" s="64">
        <f>'Snug Harbor'!J14*100</f>
        <v>82.216542963811605</v>
      </c>
      <c r="C2" s="64">
        <f>'Snug Harbor'!D38*100</f>
        <v>63.457477044650815</v>
      </c>
      <c r="D2" s="64">
        <f>'Snug Harbor'!J41*100</f>
        <v>30.490729433173101</v>
      </c>
    </row>
    <row r="3" spans="1:4">
      <c r="A3" t="s">
        <v>20</v>
      </c>
      <c r="B3" s="64">
        <f>'Westcott + Garrison Bay'!J25*100</f>
        <v>65.942667880714396</v>
      </c>
      <c r="C3" s="64">
        <f>'Westcott + Garrison Bay'!D58*100</f>
        <v>46.083377466043338</v>
      </c>
      <c r="D3" s="64">
        <f>'Westcott + Garrison Bay'!J74*100</f>
        <v>22.24365724433639</v>
      </c>
    </row>
    <row r="4" spans="1:4">
      <c r="A4" t="s">
        <v>27</v>
      </c>
      <c r="B4" s="64">
        <f>Ried!J6*100</f>
        <v>44.352879019304879</v>
      </c>
      <c r="C4" s="64">
        <f>Ried!D36*100</f>
        <v>30.029946913021998</v>
      </c>
      <c r="D4" s="64">
        <f>Ried!J17*100</f>
        <v>13.874313447701391</v>
      </c>
    </row>
    <row r="5" spans="1:4">
      <c r="A5" t="s">
        <v>21</v>
      </c>
      <c r="B5" s="64">
        <f>'North Jones'!J6*100</f>
        <v>36.437767772523365</v>
      </c>
      <c r="C5" s="64">
        <f>'North Jones'!D26*100</f>
        <v>24.673513100869581</v>
      </c>
      <c r="D5" s="64">
        <f>'North Jones'!J17*100</f>
        <v>11.383963262078023</v>
      </c>
    </row>
    <row r="9" spans="1:4">
      <c r="A9" t="s">
        <v>23</v>
      </c>
      <c r="B9" t="s">
        <v>17</v>
      </c>
      <c r="C9" t="s">
        <v>18</v>
      </c>
      <c r="D9" t="s">
        <v>19</v>
      </c>
    </row>
    <row r="10" spans="1:4">
      <c r="A10" t="s">
        <v>25</v>
      </c>
      <c r="B10" s="65">
        <f>'Snug Harbor'!D12</f>
        <v>0.60815011429035604</v>
      </c>
      <c r="C10" s="65">
        <f>'Snug Harbor'!D13</f>
        <v>0.78792921383903003</v>
      </c>
      <c r="D10" s="65">
        <f>'Snug Harbor'!D14</f>
        <v>1.6398426974200664</v>
      </c>
    </row>
    <row r="11" spans="1:4">
      <c r="A11" t="s">
        <v>20</v>
      </c>
      <c r="B11" s="65">
        <f>'Westcott + Garrison Bay'!D12</f>
        <v>0.75823441190530005</v>
      </c>
      <c r="C11" s="65">
        <f>'Westcott + Garrison Bay'!D13</f>
        <v>1.0849899193444021</v>
      </c>
      <c r="D11" s="65">
        <f>'Westcott + Garrison Bay'!D14</f>
        <v>2.2478317954090419</v>
      </c>
    </row>
    <row r="12" spans="1:4">
      <c r="A12" t="s">
        <v>21</v>
      </c>
      <c r="B12" s="65">
        <f>Ried!D12</f>
        <v>1.1273225347612084</v>
      </c>
      <c r="C12" s="65">
        <f>Ried!D13</f>
        <v>1.6650046083937069</v>
      </c>
      <c r="D12" s="65">
        <f>Ried!D14</f>
        <v>3.6037819232261676</v>
      </c>
    </row>
    <row r="13" spans="1:4">
      <c r="A13" t="s">
        <v>26</v>
      </c>
      <c r="B13" s="65">
        <f>'North Jones'!D12</f>
        <v>1.3722026089014021</v>
      </c>
      <c r="C13" s="65">
        <f>'North Jones'!D13</f>
        <v>2.0264645652846989</v>
      </c>
      <c r="D13" s="65">
        <f>'North Jones'!D14</f>
        <v>4.3921434784104392</v>
      </c>
    </row>
  </sheetData>
  <phoneticPr fontId="1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Tides</vt:lpstr>
      <vt:lpstr>Snug Harbor</vt:lpstr>
      <vt:lpstr>Westcott + Garrison Bay</vt:lpstr>
      <vt:lpstr>North Jones</vt:lpstr>
      <vt:lpstr>Ried</vt:lpstr>
      <vt:lpstr>Graphs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 Carlson</dc:creator>
  <cp:lastModifiedBy>Nora Carlson</cp:lastModifiedBy>
  <dcterms:created xsi:type="dcterms:W3CDTF">2010-05-20T00:56:14Z</dcterms:created>
  <dcterms:modified xsi:type="dcterms:W3CDTF">2010-06-04T00:36:48Z</dcterms:modified>
</cp:coreProperties>
</file>