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0" yWindow="1160" windowWidth="10220" windowHeight="13180" firstSheet="2" activeTab="2"/>
  </bookViews>
  <sheets>
    <sheet name="2008-2009" sheetId="1" r:id="rId1"/>
    <sheet name="Instructions" sheetId="2" r:id="rId2"/>
    <sheet name="2010 calculations" sheetId="3" r:id="rId3"/>
    <sheet name="2010 Energy" sheetId="4" r:id="rId4"/>
    <sheet name="2010 Sewage" sheetId="5" r:id="rId5"/>
    <sheet name="2010 Water" sheetId="6" r:id="rId6"/>
  </sheets>
  <definedNames/>
  <calcPr fullCalcOnLoad="1"/>
</workbook>
</file>

<file path=xl/sharedStrings.xml><?xml version="1.0" encoding="utf-8"?>
<sst xmlns="http://schemas.openxmlformats.org/spreadsheetml/2006/main" count="301" uniqueCount="203">
  <si>
    <t>Cumulative usage</t>
  </si>
  <si>
    <t>Change in</t>
  </si>
  <si>
    <t>change in Ah</t>
  </si>
  <si>
    <t>Ah</t>
  </si>
  <si>
    <t>Total</t>
  </si>
  <si>
    <t>Total Gal</t>
  </si>
  <si>
    <t>Total Housebank Gal</t>
  </si>
  <si>
    <t>Total Generatio Gal</t>
  </si>
  <si>
    <t>Sewage fluxes</t>
  </si>
  <si>
    <t>intercept</t>
  </si>
  <si>
    <t>5/30.10</t>
  </si>
  <si>
    <t>real value = 221.13 and 58.4</t>
  </si>
  <si>
    <t xml:space="preserve"> Generated Per Week (gallons)</t>
  </si>
  <si>
    <t>Used Per Week (gallons)</t>
  </si>
  <si>
    <t>Avg # of people</t>
  </si>
  <si>
    <t>Avg # of people</t>
  </si>
  <si>
    <t>TOTAL FRESH WATER (gallons):</t>
  </si>
  <si>
    <t>TOTAL SEWAGE (gallons):</t>
  </si>
  <si>
    <t>Total Biodiesel Used (gallons)</t>
  </si>
  <si>
    <t>Energy (Joules)</t>
  </si>
  <si>
    <t>kWhr</t>
  </si>
  <si>
    <t>kWhr/gallon</t>
  </si>
  <si>
    <t>Average Fresh Wate Usage/person/day</t>
  </si>
  <si>
    <t>(min)</t>
  </si>
  <si>
    <t>(cm)</t>
  </si>
  <si>
    <t>(liters)</t>
  </si>
  <si>
    <t>(gallons)</t>
  </si>
  <si>
    <t>(hrs)</t>
  </si>
  <si>
    <t>(l/d)</t>
  </si>
  <si>
    <t>(gal/d)</t>
  </si>
  <si>
    <t xml:space="preserve">(l/person/d) </t>
  </si>
  <si>
    <t>(gal/person/d)</t>
  </si>
  <si>
    <t>Week 1</t>
  </si>
  <si>
    <t>5/16/10-5/23/10</t>
  </si>
  <si>
    <t>5/24-5/30/10</t>
  </si>
  <si>
    <t>Average gallons/person/day</t>
  </si>
  <si>
    <t>SEWAGE</t>
  </si>
  <si>
    <t>4/29/10-5/5/10</t>
  </si>
  <si>
    <t>5/6/10-5/12/10</t>
  </si>
  <si>
    <t>5/16/10-5/22/10</t>
  </si>
  <si>
    <t>5/23-5/30/10</t>
  </si>
  <si>
    <t>ENERGY</t>
  </si>
  <si>
    <t>Week</t>
  </si>
  <si>
    <t>Dates</t>
  </si>
  <si>
    <t>Biodiesel used/day (gallons)</t>
  </si>
  <si>
    <t>Biodiesel used/week (gallons)</t>
  </si>
  <si>
    <t>Pumped out at Roche Harbor at 10am</t>
  </si>
  <si>
    <t>Open House</t>
  </si>
  <si>
    <t>It is crusty to 20 cm so I gestimated</t>
  </si>
  <si>
    <t>Pumped out at Roche</t>
  </si>
  <si>
    <t>crusty, estimated</t>
  </si>
  <si>
    <t>pumped out at FH</t>
  </si>
  <si>
    <t xml:space="preserve">pumped out @ Roche, got 2.5 gallons of gas for dinghy </t>
  </si>
  <si>
    <t>ENERGY:</t>
  </si>
  <si>
    <t>diesel tank full</t>
  </si>
  <si>
    <t>liters</t>
  </si>
  <si>
    <t>Re-calculated Charge (Ah) for 5/25/10</t>
  </si>
  <si>
    <t>Fresh water fluxes</t>
  </si>
  <si>
    <t>Procedure:</t>
  </si>
  <si>
    <t>Water remaining calculator</t>
  </si>
  <si>
    <t>1) Fill in measured (blue) values</t>
  </si>
  <si>
    <t>Conversion factors:</t>
  </si>
  <si>
    <t>liters/gal</t>
  </si>
  <si>
    <t>Liters/cm</t>
  </si>
  <si>
    <t>Intercept</t>
  </si>
  <si>
    <t>Volume remaining</t>
  </si>
  <si>
    <t>Mean l/per/d</t>
  </si>
  <si>
    <t>Future # people</t>
  </si>
  <si>
    <t>Days remaining</t>
  </si>
  <si>
    <t>2) Calculate and enter the time period associated with Volume used</t>
  </si>
  <si>
    <t>3) Note computed values for sustainability report</t>
  </si>
  <si>
    <t>Pump out at Port Townsend</t>
  </si>
  <si>
    <t>used land heads</t>
  </si>
  <si>
    <t>estimated level (not accurate?)</t>
  </si>
  <si>
    <t>Pump out at Roche Harbor</t>
  </si>
  <si>
    <t>pumped out in Bellingham</t>
  </si>
  <si>
    <t>filled up at FHL</t>
  </si>
  <si>
    <t>swim shower left on for ~5 hours so lost lots of water</t>
  </si>
  <si>
    <t>Filled up at Roche</t>
  </si>
  <si>
    <t>Week</t>
  </si>
  <si>
    <t>Dates</t>
  </si>
  <si>
    <t>4/18/10-4/25/10</t>
  </si>
  <si>
    <t># of days</t>
  </si>
  <si>
    <t>Spring 2008</t>
  </si>
  <si>
    <t>Spring 2009</t>
  </si>
  <si>
    <t>Fresh water</t>
  </si>
  <si>
    <t>week</t>
  </si>
  <si>
    <t>avg gal per person per day</t>
  </si>
  <si>
    <t>Total fresh water used (gal)</t>
  </si>
  <si>
    <t>Avg per person per day for entire cruise</t>
  </si>
  <si>
    <t>Avg per day for entire cruise</t>
  </si>
  <si>
    <t>Sewage</t>
  </si>
  <si>
    <t>Total sewage generated (gal)</t>
  </si>
  <si>
    <t>Biodiesel</t>
  </si>
  <si>
    <t>gallons used per week</t>
  </si>
  <si>
    <t>Total biodiesel used (gal)</t>
  </si>
  <si>
    <t>dates</t>
  </si>
  <si>
    <t>Ave. gal for propulsion</t>
  </si>
  <si>
    <t>Ave. gal for house bank</t>
  </si>
  <si>
    <t>4/20-4/26</t>
  </si>
  <si>
    <t>aver per day</t>
  </si>
  <si>
    <t>4/27-5/03</t>
  </si>
  <si>
    <t>5/10-5/14</t>
  </si>
  <si>
    <t>total kWh</t>
  </si>
  <si>
    <t>total kWh/gal</t>
  </si>
  <si>
    <t>total kWh (includes extrapolation(which tends to be low) from 5/21 to 5/31)</t>
  </si>
  <si>
    <t>total gal for propulsion from 4/20-5/14</t>
  </si>
  <si>
    <t>Average Sewage Production/person/day</t>
  </si>
  <si>
    <t>4) Update averages for the current week and graph trends</t>
  </si>
  <si>
    <t>Total tank V:</t>
  </si>
  <si>
    <t>Liters</t>
  </si>
  <si>
    <t>z</t>
  </si>
  <si>
    <t>Daily use rate</t>
  </si>
  <si>
    <t>Daily water use per person</t>
  </si>
  <si>
    <t>Refill at Port Townsend</t>
  </si>
  <si>
    <t>Total kWH</t>
  </si>
  <si>
    <t>Total kWH/gallon</t>
  </si>
  <si>
    <t># of gallons used for propulsion</t>
  </si>
  <si>
    <t># of gallons used for house bank</t>
  </si>
  <si>
    <t>housebank</t>
  </si>
  <si>
    <t>amps</t>
  </si>
  <si>
    <t>W</t>
  </si>
  <si>
    <t>biodiesel</t>
  </si>
  <si>
    <t>MJ/liter</t>
  </si>
  <si>
    <t>kW</t>
  </si>
  <si>
    <t>MJ/gal</t>
  </si>
  <si>
    <t>kWhr</t>
  </si>
  <si>
    <t>J/kWhr</t>
  </si>
  <si>
    <t>kWhr/gal</t>
  </si>
  <si>
    <t>total kWhr in program</t>
  </si>
  <si>
    <t>Total Time</t>
  </si>
  <si>
    <t>Change in charge</t>
  </si>
  <si>
    <t>total gal for house bank from 4/20-5/14</t>
  </si>
  <si>
    <t>Fresh Water</t>
  </si>
  <si>
    <t>Calculate total fresh water used</t>
  </si>
  <si>
    <t>Gal/person/day for each week</t>
  </si>
  <si>
    <t>plot the results</t>
  </si>
  <si>
    <t>Calculate total sewage generated</t>
  </si>
  <si>
    <t>Suggest ways we can improve upon this or mitigate our impact</t>
  </si>
  <si>
    <t>Calculate total biodiesel used</t>
  </si>
  <si>
    <t>Calculate total kWh and kWh/gal</t>
  </si>
  <si>
    <t>Calculate how many gal were used for propulsion vs house bank</t>
  </si>
  <si>
    <t>Suggest ways we coud improve/mitigate our biodiesel use</t>
  </si>
  <si>
    <t>Using the 2010 systems log data, calculate the following:</t>
  </si>
  <si>
    <t>compare with 2008-2009 data and suggest how we might improve upon our water usage</t>
  </si>
  <si>
    <t>Calculate biodiesel used per week and per day and compare to 2008-2009</t>
  </si>
  <si>
    <t>FRESH WATER</t>
  </si>
  <si>
    <t>Date</t>
  </si>
  <si>
    <t>Time</t>
  </si>
  <si>
    <t>Depth</t>
  </si>
  <si>
    <t>Metric Volume</t>
  </si>
  <si>
    <t>American Volume</t>
  </si>
  <si>
    <t>Volume used</t>
  </si>
  <si>
    <t>Time period</t>
  </si>
  <si>
    <t>Daily usage</t>
  </si>
  <si>
    <t>Number of people</t>
  </si>
  <si>
    <t xml:space="preserve">Daily per person use </t>
  </si>
  <si>
    <t>Notes</t>
  </si>
  <si>
    <t>(hr)</t>
  </si>
  <si>
    <t>1 liter = 0.264 gallons</t>
  </si>
  <si>
    <t>Average</t>
  </si>
  <si>
    <t>.03 liters in one ounce</t>
  </si>
  <si>
    <t>NOTES: Every pump (up AND down) is about 2/3 liter of water</t>
  </si>
  <si>
    <t>HOLDING TANK CALIBRATION</t>
  </si>
  <si>
    <t>Total gal</t>
  </si>
  <si>
    <t>Gallons</t>
  </si>
  <si>
    <t>Pumps *</t>
  </si>
  <si>
    <t>Gal/pump</t>
  </si>
  <si>
    <t>L/pump</t>
  </si>
  <si>
    <t>Cm</t>
  </si>
  <si>
    <t>Total L</t>
  </si>
  <si>
    <t>mean</t>
  </si>
  <si>
    <t>* A “pump” is a full stroke up AND down</t>
  </si>
  <si>
    <t>Trend~</t>
  </si>
  <si>
    <t>l/cm</t>
  </si>
  <si>
    <t>Insight: Every pump is about 2/3 liter!</t>
  </si>
  <si>
    <t>gal/cm</t>
  </si>
  <si>
    <t xml:space="preserve">French flush (per directions) is about </t>
  </si>
  <si>
    <t>Assumptions and conversion factors</t>
  </si>
  <si>
    <t>gal</t>
  </si>
  <si>
    <t>Voltage</t>
  </si>
  <si>
    <t>Volts</t>
  </si>
  <si>
    <t>Burn rate</t>
  </si>
  <si>
    <t>gal/hr</t>
  </si>
  <si>
    <t>Total energy use</t>
  </si>
  <si>
    <t>Engine run time</t>
  </si>
  <si>
    <t>Charge</t>
  </si>
  <si>
    <t>Usage since last reading</t>
  </si>
  <si>
    <t>Total Remaining</t>
  </si>
  <si>
    <t>Trip</t>
  </si>
  <si>
    <t>Lifetime</t>
  </si>
  <si>
    <t>(hours)</t>
  </si>
  <si>
    <t>(Ah)</t>
  </si>
  <si>
    <t>(gal)</t>
  </si>
  <si>
    <t>(Ahc)</t>
  </si>
  <si>
    <t>Trip reset 4/20/10</t>
  </si>
  <si>
    <t>Data taken late, after Point Partrige</t>
  </si>
  <si>
    <t>Added 12 gallons of biodiesel</t>
  </si>
  <si>
    <t>Filled 20g of biodiesel</t>
  </si>
  <si>
    <t>Todd fixed the burning smell : )</t>
  </si>
  <si>
    <t>We added 23 galons</t>
  </si>
  <si>
    <t>We reboarded today and added 24 gal. Of biodesal</t>
  </si>
  <si>
    <t>Added 21.5 gallons of diesel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</si>
</sst>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mm/dd/yy"/>
    <numFmt numFmtId="170" formatCode="0.00"/>
    <numFmt numFmtId="171" formatCode="m/d/yy"/>
    <numFmt numFmtId="172" formatCode="0.0"/>
    <numFmt numFmtId="173" formatCode="0"/>
    <numFmt numFmtId="174" formatCode="0.00000"/>
    <numFmt numFmtId="175" formatCode="0.0000000000000"/>
    <numFmt numFmtId="176" formatCode="h:mm"/>
    <numFmt numFmtId="177" formatCode="m/d/yyyy"/>
    <numFmt numFmtId="178" formatCode="0.000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6"/>
      <color indexed="8"/>
      <name val="Calibri"/>
      <family val="0"/>
    </font>
    <font>
      <b/>
      <sz val="18"/>
      <color indexed="8"/>
      <name val="Calibri"/>
      <family val="0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9" fontId="0" fillId="0" borderId="0" xfId="0" applyNumberFormat="1" applyAlignment="1">
      <alignment/>
    </xf>
    <xf numFmtId="18" fontId="0" fillId="0" borderId="0" xfId="0" applyNumberFormat="1" applyAlignment="1">
      <alignment/>
    </xf>
    <xf numFmtId="169" fontId="15" fillId="0" borderId="0" xfId="0" applyNumberFormat="1" applyFon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17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24" borderId="0" xfId="0" applyFill="1" applyAlignment="1">
      <alignment/>
    </xf>
    <xf numFmtId="170" fontId="15" fillId="0" borderId="0" xfId="0" applyNumberFormat="1" applyFont="1" applyAlignment="1">
      <alignment/>
    </xf>
    <xf numFmtId="17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1" fontId="0" fillId="8" borderId="0" xfId="0" applyNumberFormat="1" applyFill="1" applyAlignment="1">
      <alignment/>
    </xf>
    <xf numFmtId="0" fontId="0" fillId="8" borderId="0" xfId="0" applyFill="1" applyAlignment="1">
      <alignment/>
    </xf>
    <xf numFmtId="19" fontId="0" fillId="0" borderId="0" xfId="0" applyNumberFormat="1" applyFill="1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171" fontId="0" fillId="25" borderId="0" xfId="0" applyNumberFormat="1" applyFill="1" applyAlignment="1">
      <alignment/>
    </xf>
    <xf numFmtId="0" fontId="0" fillId="25" borderId="0" xfId="0" applyFill="1" applyAlignment="1">
      <alignment/>
    </xf>
    <xf numFmtId="170" fontId="0" fillId="0" borderId="0" xfId="0" applyNumberFormat="1" applyFill="1" applyAlignment="1">
      <alignment/>
    </xf>
    <xf numFmtId="0" fontId="0" fillId="22" borderId="0" xfId="0" applyFill="1" applyAlignment="1">
      <alignment/>
    </xf>
    <xf numFmtId="169" fontId="0" fillId="7" borderId="0" xfId="0" applyNumberFormat="1" applyFill="1" applyAlignment="1">
      <alignment horizontal="left"/>
    </xf>
    <xf numFmtId="19" fontId="0" fillId="7" borderId="0" xfId="0" applyNumberFormat="1" applyFill="1" applyAlignment="1">
      <alignment horizontal="left"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15" fillId="0" borderId="0" xfId="0" applyFont="1" applyFill="1" applyAlignment="1">
      <alignment horizontal="left"/>
    </xf>
    <xf numFmtId="174" fontId="0" fillId="0" borderId="0" xfId="0" applyNumberFormat="1" applyFill="1" applyAlignment="1">
      <alignment/>
    </xf>
    <xf numFmtId="0" fontId="15" fillId="0" borderId="0" xfId="0" applyFont="1" applyFill="1" applyAlignment="1">
      <alignment horizontal="right"/>
    </xf>
    <xf numFmtId="2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19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center" wrapText="1"/>
    </xf>
    <xf numFmtId="174" fontId="15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174" fontId="15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71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171" fontId="0" fillId="22" borderId="0" xfId="0" applyNumberFormat="1" applyFill="1" applyAlignment="1">
      <alignment/>
    </xf>
    <xf numFmtId="169" fontId="0" fillId="22" borderId="0" xfId="0" applyNumberFormat="1" applyFill="1" applyAlignment="1">
      <alignment horizontal="center"/>
    </xf>
    <xf numFmtId="0" fontId="0" fillId="22" borderId="0" xfId="0" applyFill="1" applyAlignment="1">
      <alignment horizontal="center"/>
    </xf>
    <xf numFmtId="172" fontId="0" fillId="22" borderId="0" xfId="0" applyNumberFormat="1" applyFill="1" applyAlignment="1">
      <alignment horizontal="center"/>
    </xf>
    <xf numFmtId="0" fontId="0" fillId="22" borderId="0" xfId="0" applyNumberFormat="1" applyFill="1" applyAlignment="1">
      <alignment horizontal="center"/>
    </xf>
    <xf numFmtId="171" fontId="0" fillId="4" borderId="0" xfId="0" applyNumberFormat="1" applyFill="1" applyAlignment="1">
      <alignment/>
    </xf>
    <xf numFmtId="171" fontId="0" fillId="7" borderId="0" xfId="0" applyNumberFormat="1" applyFill="1" applyAlignment="1">
      <alignment/>
    </xf>
    <xf numFmtId="170" fontId="0" fillId="3" borderId="0" xfId="0" applyNumberFormat="1" applyFill="1" applyAlignment="1">
      <alignment/>
    </xf>
    <xf numFmtId="14" fontId="0" fillId="7" borderId="0" xfId="0" applyNumberFormat="1" applyFill="1" applyAlignment="1">
      <alignment/>
    </xf>
    <xf numFmtId="172" fontId="0" fillId="7" borderId="0" xfId="0" applyNumberFormat="1" applyFill="1" applyAlignment="1">
      <alignment/>
    </xf>
    <xf numFmtId="0" fontId="0" fillId="7" borderId="0" xfId="0" applyNumberFormat="1" applyFill="1" applyAlignment="1">
      <alignment/>
    </xf>
    <xf numFmtId="173" fontId="15" fillId="0" borderId="0" xfId="0" applyNumberFormat="1" applyFont="1" applyAlignment="1">
      <alignment/>
    </xf>
    <xf numFmtId="177" fontId="0" fillId="7" borderId="0" xfId="0" applyNumberFormat="1" applyFill="1" applyAlignment="1">
      <alignment horizontal="left"/>
    </xf>
    <xf numFmtId="174" fontId="0" fillId="7" borderId="0" xfId="0" applyNumberFormat="1" applyFill="1" applyAlignment="1">
      <alignment/>
    </xf>
    <xf numFmtId="178" fontId="0" fillId="0" borderId="0" xfId="0" applyNumberFormat="1" applyAlignment="1">
      <alignment/>
    </xf>
    <xf numFmtId="170" fontId="0" fillId="7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0" xfId="0" applyNumberFormat="1" applyAlignment="1">
      <alignment/>
    </xf>
    <xf numFmtId="0" fontId="26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26" borderId="0" xfId="0" applyNumberFormat="1" applyFill="1" applyAlignment="1">
      <alignment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Water Usage/Person/Day on the Gato Verde</a:t>
            </a:r>
          </a:p>
        </c:rich>
      </c:tx>
      <c:layout>
        <c:manualLayout>
          <c:xMode val="factor"/>
          <c:yMode val="factor"/>
          <c:x val="-0.0027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75"/>
          <c:y val="0.55875"/>
          <c:w val="0.754"/>
          <c:h val="0.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calculations'!$B$33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'2010 calculations'!$B$34:$B$38</c:f>
              <c:numCache/>
            </c:numRef>
          </c:val>
        </c:ser>
        <c:ser>
          <c:idx val="1"/>
          <c:order val="1"/>
          <c:tx>
            <c:strRef>
              <c:f>'2010 calculations'!$C$33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'2010 calculations'!$C$34:$C$38</c:f>
              <c:numCache/>
            </c:numRef>
          </c:val>
        </c:ser>
        <c:ser>
          <c:idx val="2"/>
          <c:order val="2"/>
          <c:tx>
            <c:strRef>
              <c:f>'2010 calculations'!$D$33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'2010 calculations'!$D$34:$D$38</c:f>
              <c:numCache/>
            </c:numRef>
          </c:val>
        </c:ser>
        <c:axId val="62375791"/>
        <c:axId val="24511208"/>
      </c:barChart>
      <c:catAx>
        <c:axId val="6237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Average Water Use/Person/Day (Gallons)</a:t>
                </a:r>
              </a:p>
            </c:rich>
          </c:tx>
          <c:layout>
            <c:manualLayout>
              <c:xMode val="factor"/>
              <c:yMode val="factor"/>
              <c:x val="-0.03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5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5"/>
          <c:y val="0.66225"/>
          <c:w val="0.10125"/>
          <c:h val="0.2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Sewage Production/Person/Day on the Gato Verde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75"/>
          <c:y val="0.541"/>
          <c:w val="0.73275"/>
          <c:h val="0.3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calculations'!$B$41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'2010 calculations'!$B$42:$B$46</c:f>
              <c:numCache/>
            </c:numRef>
          </c:val>
        </c:ser>
        <c:ser>
          <c:idx val="1"/>
          <c:order val="1"/>
          <c:tx>
            <c:strRef>
              <c:f>'2010 calculations'!$C$41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'2010 calculations'!$C$42:$C$46</c:f>
              <c:numCache/>
            </c:numRef>
          </c:val>
        </c:ser>
        <c:ser>
          <c:idx val="2"/>
          <c:order val="2"/>
          <c:tx>
            <c:strRef>
              <c:f>'2010 calculations'!$D$41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'2010 calculations'!$D$42:$D$46</c:f>
              <c:numCache/>
            </c:numRef>
          </c:val>
        </c:ser>
        <c:axId val="19274281"/>
        <c:axId val="39250802"/>
      </c:barChart>
      <c:catAx>
        <c:axId val="19274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50802"/>
        <c:crosses val="autoZero"/>
        <c:auto val="1"/>
        <c:lblOffset val="100"/>
        <c:tickLblSkip val="1"/>
        <c:noMultiLvlLbl val="0"/>
      </c:catAx>
      <c:valAx>
        <c:axId val="39250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Average Sewage Production/Person/Day (Gallons)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4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5885"/>
          <c:w val="0.1047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50</xdr:row>
      <xdr:rowOff>114300</xdr:rowOff>
    </xdr:from>
    <xdr:to>
      <xdr:col>6</xdr:col>
      <xdr:colOff>219075</xdr:colOff>
      <xdr:row>65</xdr:row>
      <xdr:rowOff>161925</xdr:rowOff>
    </xdr:to>
    <xdr:graphicFrame>
      <xdr:nvGraphicFramePr>
        <xdr:cNvPr id="1" name="Chart 2"/>
        <xdr:cNvGraphicFramePr/>
      </xdr:nvGraphicFramePr>
      <xdr:xfrm>
        <a:off x="4895850" y="9639300"/>
        <a:ext cx="41243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50</xdr:row>
      <xdr:rowOff>142875</xdr:rowOff>
    </xdr:from>
    <xdr:to>
      <xdr:col>2</xdr:col>
      <xdr:colOff>762000</xdr:colOff>
      <xdr:row>65</xdr:row>
      <xdr:rowOff>28575</xdr:rowOff>
    </xdr:to>
    <xdr:graphicFrame>
      <xdr:nvGraphicFramePr>
        <xdr:cNvPr id="2" name="Chart 4"/>
        <xdr:cNvGraphicFramePr/>
      </xdr:nvGraphicFramePr>
      <xdr:xfrm>
        <a:off x="266700" y="9667875"/>
        <a:ext cx="4000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zoomScalePageLayoutView="0" workbookViewId="0" topLeftCell="A31">
      <selection activeCell="G66" sqref="G66"/>
    </sheetView>
  </sheetViews>
  <sheetFormatPr defaultColWidth="8.8515625" defaultRowHeight="15"/>
  <cols>
    <col min="1" max="2" width="8.8515625" style="0" customWidth="1"/>
    <col min="3" max="3" width="24.421875" style="0" bestFit="1" customWidth="1"/>
    <col min="4" max="6" width="8.8515625" style="0" customWidth="1"/>
    <col min="7" max="7" width="24.421875" style="0" bestFit="1" customWidth="1"/>
    <col min="8" max="8" width="22.00390625" style="0" bestFit="1" customWidth="1"/>
  </cols>
  <sheetData>
    <row r="1" spans="2:6" ht="15">
      <c r="B1" t="s">
        <v>83</v>
      </c>
      <c r="F1" t="s">
        <v>84</v>
      </c>
    </row>
    <row r="2" spans="2:6" ht="15">
      <c r="B2" t="s">
        <v>85</v>
      </c>
      <c r="F2" t="s">
        <v>85</v>
      </c>
    </row>
    <row r="3" spans="2:7" ht="15">
      <c r="B3" s="2" t="s">
        <v>86</v>
      </c>
      <c r="C3" s="2" t="s">
        <v>87</v>
      </c>
      <c r="F3" s="2" t="s">
        <v>86</v>
      </c>
      <c r="G3" s="2" t="s">
        <v>87</v>
      </c>
    </row>
    <row r="4" spans="2:7" ht="15">
      <c r="B4" s="2">
        <v>1</v>
      </c>
      <c r="C4" s="3">
        <v>4.886625263771895</v>
      </c>
      <c r="F4" s="2">
        <v>1</v>
      </c>
      <c r="G4" s="3">
        <v>2.5742080537499885</v>
      </c>
    </row>
    <row r="5" spans="2:7" ht="15">
      <c r="B5" s="2">
        <v>2</v>
      </c>
      <c r="C5" s="3">
        <v>4.323465870911742</v>
      </c>
      <c r="F5" s="2">
        <v>2</v>
      </c>
      <c r="G5" s="3">
        <v>3.8345348178901673</v>
      </c>
    </row>
    <row r="6" spans="2:7" ht="15">
      <c r="B6" s="2">
        <v>3</v>
      </c>
      <c r="C6" s="3">
        <v>4.467518500959326</v>
      </c>
      <c r="F6" s="2">
        <v>3</v>
      </c>
      <c r="G6" s="3">
        <v>2.5833861035974635</v>
      </c>
    </row>
    <row r="7" spans="2:7" ht="15">
      <c r="B7" s="2">
        <v>4</v>
      </c>
      <c r="C7" s="3">
        <v>4.756277086533872</v>
      </c>
      <c r="F7" s="2">
        <v>4</v>
      </c>
      <c r="G7" s="3">
        <v>2.8813105333325204</v>
      </c>
    </row>
    <row r="8" spans="2:7" ht="15">
      <c r="B8" s="2">
        <v>5</v>
      </c>
      <c r="C8" s="3">
        <v>4.679481231585468</v>
      </c>
      <c r="F8" s="2">
        <v>5</v>
      </c>
      <c r="G8" s="3">
        <v>3.287483764972303</v>
      </c>
    </row>
    <row r="10" spans="2:6" ht="15">
      <c r="B10" t="s">
        <v>88</v>
      </c>
      <c r="F10" t="s">
        <v>88</v>
      </c>
    </row>
    <row r="11" spans="2:6" ht="15">
      <c r="B11" s="1">
        <v>982.0581241743722</v>
      </c>
      <c r="F11" s="1">
        <v>826.1426684280049</v>
      </c>
    </row>
    <row r="12" spans="2:6" ht="15">
      <c r="B12" t="s">
        <v>89</v>
      </c>
      <c r="F12" t="s">
        <v>89</v>
      </c>
    </row>
    <row r="13" spans="2:6" ht="15">
      <c r="B13" s="1">
        <v>4.679481231585468</v>
      </c>
      <c r="F13" s="1">
        <v>3.0178727613808394</v>
      </c>
    </row>
    <row r="14" spans="2:6" ht="15">
      <c r="B14" t="s">
        <v>90</v>
      </c>
      <c r="F14" t="s">
        <v>90</v>
      </c>
    </row>
    <row r="15" spans="2:6" ht="15">
      <c r="B15" s="1">
        <v>28.058803547839204</v>
      </c>
      <c r="F15" s="1">
        <v>22.94840745633347</v>
      </c>
    </row>
    <row r="18" spans="2:6" ht="15">
      <c r="B18" t="s">
        <v>91</v>
      </c>
      <c r="F18" t="s">
        <v>91</v>
      </c>
    </row>
    <row r="19" spans="2:7" ht="15">
      <c r="B19" s="2" t="s">
        <v>86</v>
      </c>
      <c r="C19" s="2" t="s">
        <v>87</v>
      </c>
      <c r="F19" s="2" t="s">
        <v>86</v>
      </c>
      <c r="G19" s="2" t="s">
        <v>87</v>
      </c>
    </row>
    <row r="20" spans="2:7" ht="15">
      <c r="B20" s="2">
        <v>1</v>
      </c>
      <c r="C20" s="3">
        <v>2.229688737774055</v>
      </c>
      <c r="F20" s="2">
        <v>1</v>
      </c>
      <c r="G20" s="3">
        <v>1.1010770048760243</v>
      </c>
    </row>
    <row r="21" spans="2:7" ht="15">
      <c r="B21" s="2">
        <v>2</v>
      </c>
      <c r="C21" s="3">
        <v>1.6768103590417809</v>
      </c>
      <c r="F21" s="2">
        <v>2</v>
      </c>
      <c r="G21" s="3">
        <v>1.4415154950869236</v>
      </c>
    </row>
    <row r="22" spans="2:7" ht="15">
      <c r="B22" s="2">
        <v>3</v>
      </c>
      <c r="C22" s="3">
        <v>1.1345642617318776</v>
      </c>
      <c r="F22" s="2">
        <v>3</v>
      </c>
      <c r="G22" s="3">
        <v>0.9478458049886621</v>
      </c>
    </row>
    <row r="23" spans="2:7" ht="15">
      <c r="B23" s="2">
        <v>4</v>
      </c>
      <c r="C23" s="3">
        <v>1.0646279771764267</v>
      </c>
      <c r="F23" s="2">
        <v>4</v>
      </c>
      <c r="G23" s="3">
        <v>1.6553859447004606</v>
      </c>
    </row>
    <row r="24" spans="2:7" ht="15">
      <c r="B24" s="2">
        <v>5</v>
      </c>
      <c r="C24" s="3">
        <v>1.6800419148899346</v>
      </c>
      <c r="F24" s="2">
        <v>5</v>
      </c>
      <c r="G24" s="3">
        <v>1.9740979725223424</v>
      </c>
    </row>
    <row r="26" spans="2:6" ht="15">
      <c r="B26" t="s">
        <v>92</v>
      </c>
      <c r="F26" t="s">
        <v>92</v>
      </c>
    </row>
    <row r="27" spans="2:6" ht="15">
      <c r="B27" s="1">
        <v>333.81944444444446</v>
      </c>
      <c r="F27" s="1">
        <v>385.654761904762</v>
      </c>
    </row>
    <row r="28" spans="2:6" ht="15">
      <c r="B28" t="s">
        <v>89</v>
      </c>
      <c r="F28" t="s">
        <v>89</v>
      </c>
    </row>
    <row r="29" spans="2:6" ht="15">
      <c r="B29" s="1">
        <v>1.5703403023351987</v>
      </c>
      <c r="F29" s="1">
        <v>1.4087845183735597</v>
      </c>
    </row>
    <row r="30" spans="2:6" ht="15">
      <c r="B30" t="s">
        <v>90</v>
      </c>
      <c r="F30" t="s">
        <v>90</v>
      </c>
    </row>
    <row r="31" spans="2:6" ht="15">
      <c r="B31" s="1">
        <v>10.11574074074074</v>
      </c>
      <c r="F31" s="1">
        <v>10.712632275132277</v>
      </c>
    </row>
    <row r="34" spans="2:6" ht="15">
      <c r="B34" t="s">
        <v>93</v>
      </c>
      <c r="F34" t="s">
        <v>93</v>
      </c>
    </row>
    <row r="36" spans="2:7" ht="15">
      <c r="B36" s="2" t="s">
        <v>86</v>
      </c>
      <c r="C36" s="2" t="s">
        <v>94</v>
      </c>
      <c r="F36" s="2" t="s">
        <v>86</v>
      </c>
      <c r="G36" s="2" t="s">
        <v>94</v>
      </c>
    </row>
    <row r="37" spans="2:7" ht="15">
      <c r="B37" s="2">
        <v>1</v>
      </c>
      <c r="C37" s="3">
        <v>19.671666666666667</v>
      </c>
      <c r="F37" s="2">
        <v>1</v>
      </c>
      <c r="G37" s="3">
        <v>12.430000000000001</v>
      </c>
    </row>
    <row r="38" spans="2:7" ht="15">
      <c r="B38" s="2">
        <v>2</v>
      </c>
      <c r="C38" s="3">
        <v>21.578333333333337</v>
      </c>
      <c r="F38" s="2">
        <v>2</v>
      </c>
      <c r="G38" s="3">
        <v>29.553333333333335</v>
      </c>
    </row>
    <row r="39" spans="2:7" ht="15">
      <c r="B39" s="2">
        <v>3</v>
      </c>
      <c r="C39" s="3">
        <v>30.87333333333334</v>
      </c>
      <c r="F39" s="2">
        <v>3</v>
      </c>
      <c r="G39" s="3">
        <v>45.11833333333334</v>
      </c>
    </row>
    <row r="40" spans="2:7" ht="15">
      <c r="B40" s="2">
        <v>4</v>
      </c>
      <c r="C40" s="3">
        <v>41.873333333333335</v>
      </c>
      <c r="F40" s="2">
        <v>4</v>
      </c>
      <c r="G40" s="3">
        <v>12.540000000000003</v>
      </c>
    </row>
    <row r="41" spans="2:7" ht="15">
      <c r="B41" s="2">
        <v>5</v>
      </c>
      <c r="C41" s="3">
        <v>36.3</v>
      </c>
      <c r="F41" s="2">
        <v>5</v>
      </c>
      <c r="G41" s="3">
        <v>30.983333333333334</v>
      </c>
    </row>
    <row r="43" spans="2:8" ht="15">
      <c r="B43" t="s">
        <v>95</v>
      </c>
      <c r="F43" s="2" t="s">
        <v>96</v>
      </c>
      <c r="G43" s="2" t="s">
        <v>97</v>
      </c>
      <c r="H43" s="2" t="s">
        <v>98</v>
      </c>
    </row>
    <row r="44" spans="2:8" ht="15">
      <c r="B44" s="1">
        <v>150.29666666666668</v>
      </c>
      <c r="F44" s="2" t="s">
        <v>99</v>
      </c>
      <c r="G44" s="3">
        <v>2.0280135257910343</v>
      </c>
      <c r="H44" s="3">
        <v>0.3738982720703127</v>
      </c>
    </row>
    <row r="45" spans="2:8" ht="15">
      <c r="B45" t="s">
        <v>100</v>
      </c>
      <c r="F45" s="2" t="s">
        <v>101</v>
      </c>
      <c r="G45" s="3">
        <v>5.37548440048613</v>
      </c>
      <c r="H45" s="3">
        <v>0.3944729217740138</v>
      </c>
    </row>
    <row r="46" spans="2:8" ht="15">
      <c r="B46" s="1">
        <v>5.00988888888889</v>
      </c>
      <c r="F46" s="2" t="s">
        <v>102</v>
      </c>
      <c r="G46" s="3">
        <v>4.315845846882767</v>
      </c>
      <c r="H46" s="3">
        <v>0.4457348989403513</v>
      </c>
    </row>
    <row r="47" ht="15">
      <c r="B47" t="s">
        <v>103</v>
      </c>
    </row>
    <row r="48" spans="2:6" ht="15">
      <c r="B48" s="1">
        <v>330.102</v>
      </c>
      <c r="F48" t="s">
        <v>95</v>
      </c>
    </row>
    <row r="49" spans="2:6" ht="15">
      <c r="B49" t="s">
        <v>104</v>
      </c>
      <c r="F49" s="1">
        <v>130.625</v>
      </c>
    </row>
    <row r="50" spans="2:6" ht="15">
      <c r="B50" s="1">
        <v>2.196335648088082</v>
      </c>
      <c r="F50" t="s">
        <v>100</v>
      </c>
    </row>
    <row r="51" ht="15">
      <c r="F51" s="1">
        <v>3.6284722222222223</v>
      </c>
    </row>
    <row r="52" ht="15">
      <c r="F52" t="s">
        <v>105</v>
      </c>
    </row>
    <row r="53" ht="15">
      <c r="F53" s="1">
        <v>836.9661</v>
      </c>
    </row>
    <row r="54" ht="15">
      <c r="F54" t="s">
        <v>104</v>
      </c>
    </row>
    <row r="55" ht="15">
      <c r="F55" s="1">
        <v>6.407395980861244</v>
      </c>
    </row>
    <row r="57" ht="15">
      <c r="F57" t="s">
        <v>106</v>
      </c>
    </row>
    <row r="58" ht="15">
      <c r="F58" s="1">
        <v>84.44928354923815</v>
      </c>
    </row>
    <row r="59" ht="15">
      <c r="F59" t="s">
        <v>132</v>
      </c>
    </row>
    <row r="60" ht="15">
      <c r="F60" s="1">
        <v>7.873713463424624</v>
      </c>
    </row>
    <row r="63" ht="15">
      <c r="D63">
        <f>57.5*0.03</f>
        <v>1.7249999999999999</v>
      </c>
    </row>
    <row r="64" ht="15">
      <c r="D64" t="s">
        <v>161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J42" sqref="J42"/>
    </sheetView>
  </sheetViews>
  <sheetFormatPr defaultColWidth="8.8515625" defaultRowHeight="15"/>
  <cols>
    <col min="1" max="10" width="8.8515625" style="0" customWidth="1"/>
    <col min="11" max="11" width="67.140625" style="0" customWidth="1"/>
  </cols>
  <sheetData>
    <row r="1" ht="15">
      <c r="B1" t="s">
        <v>143</v>
      </c>
    </row>
    <row r="3" ht="15">
      <c r="B3" s="4" t="s">
        <v>133</v>
      </c>
    </row>
    <row r="4" spans="1:2" ht="15">
      <c r="A4">
        <v>1</v>
      </c>
      <c r="B4" s="5" t="s">
        <v>134</v>
      </c>
    </row>
    <row r="5" spans="1:2" ht="15">
      <c r="A5">
        <v>2</v>
      </c>
      <c r="B5" t="s">
        <v>135</v>
      </c>
    </row>
    <row r="6" spans="1:2" ht="15">
      <c r="A6">
        <v>3</v>
      </c>
      <c r="B6" t="s">
        <v>136</v>
      </c>
    </row>
    <row r="7" spans="1:2" ht="15">
      <c r="A7">
        <v>4</v>
      </c>
      <c r="B7" t="s">
        <v>144</v>
      </c>
    </row>
    <row r="10" ht="15">
      <c r="B10" s="4" t="s">
        <v>91</v>
      </c>
    </row>
    <row r="11" spans="1:2" ht="15">
      <c r="A11">
        <v>1</v>
      </c>
      <c r="B11" t="s">
        <v>137</v>
      </c>
    </row>
    <row r="12" spans="1:2" ht="15">
      <c r="A12">
        <v>2</v>
      </c>
      <c r="B12" t="s">
        <v>135</v>
      </c>
    </row>
    <row r="13" spans="1:2" ht="15">
      <c r="A13">
        <v>3</v>
      </c>
      <c r="B13" t="s">
        <v>136</v>
      </c>
    </row>
    <row r="14" spans="1:2" ht="15">
      <c r="A14">
        <v>4</v>
      </c>
      <c r="B14" t="s">
        <v>138</v>
      </c>
    </row>
    <row r="17" ht="15">
      <c r="B17" s="4" t="s">
        <v>93</v>
      </c>
    </row>
    <row r="18" spans="1:2" ht="15">
      <c r="A18">
        <v>1</v>
      </c>
      <c r="B18" t="s">
        <v>139</v>
      </c>
    </row>
    <row r="19" spans="1:2" ht="15">
      <c r="A19">
        <v>2</v>
      </c>
      <c r="B19" t="s">
        <v>145</v>
      </c>
    </row>
    <row r="20" spans="1:2" ht="15">
      <c r="A20">
        <v>3</v>
      </c>
      <c r="B20" t="s">
        <v>140</v>
      </c>
    </row>
    <row r="21" spans="1:2" ht="15">
      <c r="A21">
        <v>4</v>
      </c>
      <c r="B21" t="s">
        <v>141</v>
      </c>
    </row>
    <row r="22" spans="1:2" ht="15">
      <c r="A22">
        <v>5</v>
      </c>
      <c r="B22" t="s">
        <v>142</v>
      </c>
    </row>
    <row r="26" ht="15">
      <c r="K26" t="s">
        <v>162</v>
      </c>
    </row>
    <row r="28" ht="15">
      <c r="B28" s="68" t="s">
        <v>163</v>
      </c>
    </row>
    <row r="29" spans="2:8" ht="15">
      <c r="B29" t="s">
        <v>164</v>
      </c>
      <c r="C29" t="s">
        <v>165</v>
      </c>
      <c r="D29" t="s">
        <v>166</v>
      </c>
      <c r="E29" t="s">
        <v>167</v>
      </c>
      <c r="F29" t="s">
        <v>168</v>
      </c>
      <c r="G29" t="s">
        <v>169</v>
      </c>
      <c r="H29" t="s">
        <v>170</v>
      </c>
    </row>
    <row r="30" spans="2:8" ht="15">
      <c r="B30">
        <v>4</v>
      </c>
      <c r="C30">
        <v>4</v>
      </c>
      <c r="D30">
        <v>25</v>
      </c>
      <c r="E30" s="69">
        <f aca="true" t="shared" si="0" ref="E30:E41">C30/D30</f>
        <v>0.16</v>
      </c>
      <c r="F30" s="69">
        <f aca="true" t="shared" si="1" ref="F30:F41">3.8*E30</f>
        <v>0.608</v>
      </c>
      <c r="G30">
        <v>8</v>
      </c>
      <c r="H30" s="69">
        <f aca="true" t="shared" si="2" ref="H30:H41">B30*3.8</f>
        <v>15.2</v>
      </c>
    </row>
    <row r="31" spans="2:8" ht="15">
      <c r="B31">
        <v>7</v>
      </c>
      <c r="C31">
        <v>3</v>
      </c>
      <c r="D31">
        <v>19</v>
      </c>
      <c r="E31" s="69">
        <f t="shared" si="0"/>
        <v>0.15789473684210525</v>
      </c>
      <c r="F31" s="69">
        <f t="shared" si="1"/>
        <v>0.6</v>
      </c>
      <c r="G31">
        <v>11</v>
      </c>
      <c r="H31" s="69">
        <f t="shared" si="2"/>
        <v>26.599999999999998</v>
      </c>
    </row>
    <row r="32" spans="2:8" ht="15">
      <c r="B32">
        <v>10</v>
      </c>
      <c r="C32">
        <v>3</v>
      </c>
      <c r="D32">
        <v>18</v>
      </c>
      <c r="E32" s="69">
        <f t="shared" si="0"/>
        <v>0.16666666666666666</v>
      </c>
      <c r="F32" s="69">
        <f t="shared" si="1"/>
        <v>0.6333333333333333</v>
      </c>
      <c r="G32">
        <v>13.5</v>
      </c>
      <c r="H32" s="69">
        <f t="shared" si="2"/>
        <v>38</v>
      </c>
    </row>
    <row r="33" spans="2:8" ht="15">
      <c r="B33">
        <v>14</v>
      </c>
      <c r="C33">
        <v>4</v>
      </c>
      <c r="D33">
        <v>23</v>
      </c>
      <c r="E33" s="69">
        <f t="shared" si="0"/>
        <v>0.17391304347826086</v>
      </c>
      <c r="F33" s="69">
        <f t="shared" si="1"/>
        <v>0.6608695652173913</v>
      </c>
      <c r="G33">
        <v>16.5</v>
      </c>
      <c r="H33" s="69">
        <f t="shared" si="2"/>
        <v>53.199999999999996</v>
      </c>
    </row>
    <row r="34" spans="2:8" ht="15">
      <c r="B34">
        <v>18</v>
      </c>
      <c r="C34">
        <v>4</v>
      </c>
      <c r="D34">
        <v>23</v>
      </c>
      <c r="E34" s="69">
        <f t="shared" si="0"/>
        <v>0.17391304347826086</v>
      </c>
      <c r="F34" s="69">
        <f t="shared" si="1"/>
        <v>0.6608695652173913</v>
      </c>
      <c r="G34">
        <v>20</v>
      </c>
      <c r="H34" s="69">
        <f t="shared" si="2"/>
        <v>68.39999999999999</v>
      </c>
    </row>
    <row r="35" spans="2:8" ht="15">
      <c r="B35">
        <v>22</v>
      </c>
      <c r="C35">
        <v>4</v>
      </c>
      <c r="D35">
        <v>23</v>
      </c>
      <c r="E35" s="69">
        <f t="shared" si="0"/>
        <v>0.17391304347826086</v>
      </c>
      <c r="F35" s="69">
        <f t="shared" si="1"/>
        <v>0.6608695652173913</v>
      </c>
      <c r="G35">
        <v>24</v>
      </c>
      <c r="H35" s="69">
        <f t="shared" si="2"/>
        <v>83.6</v>
      </c>
    </row>
    <row r="36" spans="2:8" ht="15">
      <c r="B36">
        <v>28</v>
      </c>
      <c r="C36">
        <v>6</v>
      </c>
      <c r="D36">
        <v>37</v>
      </c>
      <c r="E36" s="69">
        <f t="shared" si="0"/>
        <v>0.16216216216216217</v>
      </c>
      <c r="F36" s="69">
        <f t="shared" si="1"/>
        <v>0.6162162162162163</v>
      </c>
      <c r="G36">
        <v>29.5</v>
      </c>
      <c r="H36" s="69">
        <f t="shared" si="2"/>
        <v>106.39999999999999</v>
      </c>
    </row>
    <row r="37" spans="2:8" ht="15">
      <c r="B37">
        <v>30</v>
      </c>
      <c r="C37">
        <v>2</v>
      </c>
      <c r="D37">
        <v>12</v>
      </c>
      <c r="E37" s="69">
        <f t="shared" si="0"/>
        <v>0.16666666666666666</v>
      </c>
      <c r="F37" s="69">
        <f t="shared" si="1"/>
        <v>0.6333333333333333</v>
      </c>
      <c r="G37">
        <v>31</v>
      </c>
      <c r="H37" s="69">
        <f t="shared" si="2"/>
        <v>114</v>
      </c>
    </row>
    <row r="38" spans="2:8" ht="15">
      <c r="B38">
        <v>34</v>
      </c>
      <c r="C38">
        <v>4</v>
      </c>
      <c r="D38">
        <v>24</v>
      </c>
      <c r="E38" s="69">
        <f t="shared" si="0"/>
        <v>0.16666666666666666</v>
      </c>
      <c r="F38" s="69">
        <f t="shared" si="1"/>
        <v>0.6333333333333333</v>
      </c>
      <c r="G38">
        <v>36</v>
      </c>
      <c r="H38" s="69">
        <f t="shared" si="2"/>
        <v>129.2</v>
      </c>
    </row>
    <row r="39" spans="2:8" ht="15">
      <c r="B39">
        <v>35</v>
      </c>
      <c r="C39">
        <v>1</v>
      </c>
      <c r="D39">
        <v>6</v>
      </c>
      <c r="E39" s="69">
        <f t="shared" si="0"/>
        <v>0.16666666666666666</v>
      </c>
      <c r="F39" s="69">
        <f t="shared" si="1"/>
        <v>0.6333333333333333</v>
      </c>
      <c r="G39">
        <v>37.5</v>
      </c>
      <c r="H39" s="69">
        <f t="shared" si="2"/>
        <v>133</v>
      </c>
    </row>
    <row r="40" spans="2:10" ht="15">
      <c r="B40">
        <v>36</v>
      </c>
      <c r="C40">
        <v>1</v>
      </c>
      <c r="D40">
        <v>6</v>
      </c>
      <c r="E40" s="69">
        <f t="shared" si="0"/>
        <v>0.16666666666666666</v>
      </c>
      <c r="F40" s="69">
        <f t="shared" si="1"/>
        <v>0.6333333333333333</v>
      </c>
      <c r="G40">
        <v>39</v>
      </c>
      <c r="H40" s="69">
        <f t="shared" si="2"/>
        <v>136.79999999999998</v>
      </c>
      <c r="J40">
        <f>140.6/0.667</f>
        <v>210.79460269865066</v>
      </c>
    </row>
    <row r="41" spans="2:10" ht="15">
      <c r="B41">
        <v>37</v>
      </c>
      <c r="C41">
        <v>1</v>
      </c>
      <c r="D41">
        <v>6</v>
      </c>
      <c r="E41" s="69">
        <f t="shared" si="0"/>
        <v>0.16666666666666666</v>
      </c>
      <c r="F41" s="69">
        <f t="shared" si="1"/>
        <v>0.6333333333333333</v>
      </c>
      <c r="G41">
        <v>40</v>
      </c>
      <c r="H41" s="69">
        <f t="shared" si="2"/>
        <v>140.6</v>
      </c>
      <c r="J41">
        <f>211/5</f>
        <v>42.2</v>
      </c>
    </row>
    <row r="42" spans="3:7" ht="15">
      <c r="C42" s="68" t="s">
        <v>171</v>
      </c>
      <c r="D42" s="68"/>
      <c r="E42" s="68">
        <f>AVERAGE(E30:E41)</f>
        <v>0.1668163357865875</v>
      </c>
      <c r="F42" s="68">
        <f>AVERAGE(F30:F41)</f>
        <v>0.6339020759890324</v>
      </c>
      <c r="G42" s="68"/>
    </row>
    <row r="43" spans="2:9" ht="15">
      <c r="B43" s="70" t="s">
        <v>172</v>
      </c>
      <c r="C43" s="68"/>
      <c r="E43" s="68"/>
      <c r="F43" s="68"/>
      <c r="G43" s="71" t="s">
        <v>173</v>
      </c>
      <c r="H43" s="72">
        <f>(H41-H30)/(G41-G30)</f>
        <v>3.9187499999999997</v>
      </c>
      <c r="I43" t="s">
        <v>174</v>
      </c>
    </row>
    <row r="44" spans="2:9" ht="15">
      <c r="B44" t="s">
        <v>175</v>
      </c>
      <c r="C44" s="68"/>
      <c r="D44" s="68"/>
      <c r="E44" s="68"/>
      <c r="F44" s="68"/>
      <c r="G44" s="68"/>
      <c r="H44" s="69">
        <f>H43/3.78</f>
        <v>1.036706349206349</v>
      </c>
      <c r="I44" t="s">
        <v>176</v>
      </c>
    </row>
    <row r="45" spans="2:7" ht="15">
      <c r="B45" t="s">
        <v>177</v>
      </c>
      <c r="C45" s="68"/>
      <c r="D45" s="68"/>
      <c r="E45" s="68"/>
      <c r="F45" s="68"/>
      <c r="G45" s="68"/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I1">
      <selection activeCell="A4" sqref="A4"/>
    </sheetView>
  </sheetViews>
  <sheetFormatPr defaultColWidth="8.8515625" defaultRowHeight="15"/>
  <cols>
    <col min="1" max="1" width="32.421875" style="6" customWidth="1"/>
    <col min="2" max="2" width="20.140625" style="7" customWidth="1"/>
    <col min="3" max="3" width="18.7109375" style="7" customWidth="1"/>
    <col min="4" max="4" width="14.28125" style="7" customWidth="1"/>
    <col min="5" max="5" width="23.140625" style="7" customWidth="1"/>
    <col min="6" max="6" width="23.28125" style="0" customWidth="1"/>
    <col min="7" max="7" width="23.8515625" style="0" customWidth="1"/>
    <col min="8" max="8" width="15.8515625" style="0" customWidth="1"/>
    <col min="9" max="9" width="25.421875" style="0" customWidth="1"/>
    <col min="10" max="10" width="26.28125" style="0" customWidth="1"/>
    <col min="11" max="11" width="25.28125" style="0" customWidth="1"/>
  </cols>
  <sheetData>
    <row r="1" ht="15">
      <c r="A1" s="8" t="s">
        <v>146</v>
      </c>
    </row>
    <row r="3" spans="1:7" ht="15">
      <c r="A3" s="6" t="s">
        <v>13</v>
      </c>
      <c r="B3" s="7" t="s">
        <v>79</v>
      </c>
      <c r="C3" s="7" t="s">
        <v>80</v>
      </c>
      <c r="D3" s="7" t="s">
        <v>82</v>
      </c>
      <c r="E3" s="7" t="s">
        <v>15</v>
      </c>
      <c r="F3" t="s">
        <v>35</v>
      </c>
      <c r="G3" s="14" t="s">
        <v>16</v>
      </c>
    </row>
    <row r="4" spans="1:10" ht="15">
      <c r="A4" s="24">
        <f>SUM('2010 Water'!H12:H14,'2010 Water'!H16:H19)</f>
        <v>109.89035667107002</v>
      </c>
      <c r="B4" s="11">
        <v>1</v>
      </c>
      <c r="C4" s="12" t="s">
        <v>81</v>
      </c>
      <c r="D4" s="11">
        <v>8</v>
      </c>
      <c r="E4" s="11">
        <f>AVERAGE('2010 Water'!L12:L14,'2010 Water'!L16:L19)</f>
        <v>6.857142857142857</v>
      </c>
      <c r="F4" s="10">
        <f>A4/E4/D4</f>
        <v>2.0032096268163806</v>
      </c>
      <c r="G4" s="59">
        <f>SUM(A4:A8)</f>
        <v>504.9392338177015</v>
      </c>
      <c r="H4" s="10"/>
      <c r="I4" s="10"/>
      <c r="J4" s="10"/>
    </row>
    <row r="5" spans="1:10" ht="15">
      <c r="A5" s="10">
        <f>SUM('2010 Water'!H21:H26)</f>
        <v>82.07001321003963</v>
      </c>
      <c r="B5" s="11">
        <v>2</v>
      </c>
      <c r="C5" s="12" t="s">
        <v>37</v>
      </c>
      <c r="D5" s="11">
        <v>7</v>
      </c>
      <c r="E5" s="11">
        <f>AVERAGE('2010 Water'!L20:L26)</f>
        <v>6.142857142857143</v>
      </c>
      <c r="F5" s="10">
        <f>A5/E5/D5</f>
        <v>1.9086049583730147</v>
      </c>
      <c r="G5" s="10"/>
      <c r="H5" s="10"/>
      <c r="I5" s="10"/>
      <c r="J5" s="10"/>
    </row>
    <row r="6" spans="1:10" ht="15">
      <c r="A6" s="10">
        <f>SUM('2010 Water'!H27:H29,'2010 Water'!H31:H33)</f>
        <v>73.72391017173054</v>
      </c>
      <c r="B6" s="11">
        <v>3</v>
      </c>
      <c r="C6" s="12" t="s">
        <v>38</v>
      </c>
      <c r="D6" s="11">
        <v>7</v>
      </c>
      <c r="E6" s="11">
        <f>AVERAGE('2010 Water'!L27:L33)</f>
        <v>6.285714285714286</v>
      </c>
      <c r="F6" s="10">
        <f>A6/E6/D6</f>
        <v>1.675543412993876</v>
      </c>
      <c r="G6" s="10"/>
      <c r="H6" s="10"/>
      <c r="I6" s="10"/>
      <c r="J6" s="10"/>
    </row>
    <row r="7" spans="1:10" ht="15">
      <c r="A7" s="55">
        <f>SUM('2010 Water'!H35:H38,'2010 Water'!H40:H41)</f>
        <v>122.40951122853367</v>
      </c>
      <c r="B7" s="11">
        <v>4</v>
      </c>
      <c r="C7" s="12" t="s">
        <v>39</v>
      </c>
      <c r="D7" s="11">
        <v>7</v>
      </c>
      <c r="E7" s="11">
        <f>AVERAGE('2010 Water'!L34:L41)</f>
        <v>7</v>
      </c>
      <c r="F7" s="10">
        <f>A7/E7/D7</f>
        <v>2.498153290378238</v>
      </c>
      <c r="G7" s="10"/>
      <c r="H7" s="10"/>
      <c r="I7" s="10"/>
      <c r="J7" s="10"/>
    </row>
    <row r="8" spans="1:10" ht="15">
      <c r="A8" s="10">
        <f>SUM('2010 Water'!H42:H46,'2010 Water'!H48:H50)</f>
        <v>116.8454425363276</v>
      </c>
      <c r="B8" s="11">
        <v>5</v>
      </c>
      <c r="C8" s="12" t="s">
        <v>40</v>
      </c>
      <c r="D8" s="11">
        <v>8</v>
      </c>
      <c r="E8" s="11">
        <f>AVERAGE('2010 Water'!L42:L50)</f>
        <v>7</v>
      </c>
      <c r="F8" s="10">
        <f>A8/E8/D8</f>
        <v>2.0865257595772784</v>
      </c>
      <c r="G8" s="10"/>
      <c r="H8" s="10"/>
      <c r="I8" s="10"/>
      <c r="J8" s="10"/>
    </row>
    <row r="9" spans="3:10" ht="15">
      <c r="C9" s="12"/>
      <c r="D9" s="11"/>
      <c r="E9" s="11"/>
      <c r="F9" s="10"/>
      <c r="G9" s="10"/>
      <c r="H9" s="10"/>
      <c r="I9" s="10"/>
      <c r="J9" s="10"/>
    </row>
    <row r="10" spans="1:10" ht="15">
      <c r="A10" s="10"/>
      <c r="B10" s="11"/>
      <c r="C10" s="12"/>
      <c r="D10" s="11"/>
      <c r="E10" s="11"/>
      <c r="F10" s="10">
        <f>AVERAGE(F4:F8)</f>
        <v>2.0344074096277573</v>
      </c>
      <c r="G10" s="10"/>
      <c r="H10" s="10"/>
      <c r="I10" s="10"/>
      <c r="J10" s="10"/>
    </row>
    <row r="11" spans="1:10" ht="15">
      <c r="A11" s="14" t="s">
        <v>36</v>
      </c>
      <c r="B11" s="11"/>
      <c r="C11" s="12"/>
      <c r="D11" s="11"/>
      <c r="E11" s="11"/>
      <c r="F11" s="10"/>
      <c r="G11" s="10"/>
      <c r="H11" s="10"/>
      <c r="I11" s="10"/>
      <c r="J11" s="10"/>
    </row>
    <row r="12" spans="1:10" ht="15">
      <c r="A12" s="10"/>
      <c r="B12" s="11"/>
      <c r="C12" s="12"/>
      <c r="D12" s="11"/>
      <c r="E12" s="11"/>
      <c r="F12" s="10"/>
      <c r="G12" s="10"/>
      <c r="H12" s="10"/>
      <c r="I12" s="10"/>
      <c r="J12" s="10"/>
    </row>
    <row r="13" spans="1:10" ht="15">
      <c r="A13" s="10" t="s">
        <v>12</v>
      </c>
      <c r="B13" s="11" t="s">
        <v>79</v>
      </c>
      <c r="C13" s="12" t="s">
        <v>80</v>
      </c>
      <c r="D13" s="11" t="s">
        <v>82</v>
      </c>
      <c r="E13" s="11" t="s">
        <v>14</v>
      </c>
      <c r="F13" s="10" t="s">
        <v>35</v>
      </c>
      <c r="G13" s="14" t="s">
        <v>17</v>
      </c>
      <c r="I13" s="10"/>
      <c r="J13" s="10"/>
    </row>
    <row r="14" spans="1:10" ht="15">
      <c r="A14" s="10">
        <f>SUM('2010 Sewage'!H11:H12,'2010 Sewage'!H14:H16,'2010 Sewage'!H18)</f>
        <v>42.504960317460316</v>
      </c>
      <c r="B14" s="11">
        <v>1</v>
      </c>
      <c r="C14" s="12" t="s">
        <v>81</v>
      </c>
      <c r="D14" s="11">
        <v>8</v>
      </c>
      <c r="E14" s="11">
        <v>6.857142857142857</v>
      </c>
      <c r="F14" s="10">
        <f>A14/E14/D14</f>
        <v>0.7748300057870371</v>
      </c>
      <c r="G14" s="59">
        <f>SUM(A14:A18)</f>
        <v>252.95634920634922</v>
      </c>
      <c r="H14" s="10"/>
      <c r="I14" s="10"/>
      <c r="J14" s="10"/>
    </row>
    <row r="15" spans="1:10" ht="15">
      <c r="A15" s="10">
        <f>SUM('2010 Sewage'!H20:H24)</f>
        <v>26.954365079365076</v>
      </c>
      <c r="B15" s="11">
        <v>2</v>
      </c>
      <c r="C15" s="12" t="s">
        <v>37</v>
      </c>
      <c r="D15" s="11">
        <v>7</v>
      </c>
      <c r="E15" s="11">
        <v>6.142857142857143</v>
      </c>
      <c r="F15" s="10">
        <f>A15/E15/D15</f>
        <v>0.6268456995201179</v>
      </c>
      <c r="G15" s="10"/>
      <c r="H15" s="10"/>
      <c r="I15" s="10"/>
      <c r="J15" s="10"/>
    </row>
    <row r="16" spans="1:10" ht="15">
      <c r="A16" s="10">
        <f>SUM('2010 Sewage'!H27:H30,'2010 Sewage'!H32:H34)</f>
        <v>46.651785714285715</v>
      </c>
      <c r="B16" s="11">
        <v>3</v>
      </c>
      <c r="C16" s="12" t="s">
        <v>38</v>
      </c>
      <c r="D16" s="11">
        <v>7</v>
      </c>
      <c r="E16" s="11">
        <v>6.285714285714286</v>
      </c>
      <c r="F16" s="10">
        <f>A16/E16/D16</f>
        <v>1.0602678571428572</v>
      </c>
      <c r="G16" s="10"/>
      <c r="H16" s="10"/>
      <c r="I16" s="10"/>
      <c r="J16" s="10"/>
    </row>
    <row r="17" spans="1:10" ht="15">
      <c r="A17" s="10">
        <f>SUM('2010 Sewage'!H36:H40,'2010 Sewage'!H42:H43)</f>
        <v>47.68849206349206</v>
      </c>
      <c r="B17" s="11">
        <v>4</v>
      </c>
      <c r="C17" s="12" t="s">
        <v>33</v>
      </c>
      <c r="D17" s="11">
        <v>7</v>
      </c>
      <c r="E17" s="11">
        <v>7</v>
      </c>
      <c r="F17" s="10">
        <f>A17/E17/D17</f>
        <v>0.9732345319080012</v>
      </c>
      <c r="G17" s="10"/>
      <c r="H17" s="10"/>
      <c r="I17" s="10"/>
      <c r="J17" s="10"/>
    </row>
    <row r="18" spans="1:10" ht="15">
      <c r="A18" s="10">
        <f>SUM('2010 Sewage'!H44,'2010 Sewage'!H46:H47,'2010 Sewage'!H49:H51,'2010 Sewage'!H53:H55)</f>
        <v>89.15674603174604</v>
      </c>
      <c r="B18" s="11">
        <v>5</v>
      </c>
      <c r="C18" s="12" t="s">
        <v>34</v>
      </c>
      <c r="D18" s="11">
        <v>8</v>
      </c>
      <c r="E18" s="11">
        <v>7</v>
      </c>
      <c r="F18" s="10">
        <f>A18/E18/D18</f>
        <v>1.5920847505668936</v>
      </c>
      <c r="G18" s="10"/>
      <c r="H18" s="10"/>
      <c r="I18" s="10"/>
      <c r="J18" s="10"/>
    </row>
    <row r="19" spans="1:10" ht="15">
      <c r="A19" s="6" t="s">
        <v>160</v>
      </c>
      <c r="C19" s="12"/>
      <c r="D19" s="11"/>
      <c r="E19" s="11"/>
      <c r="F19" s="10"/>
      <c r="G19" s="10"/>
      <c r="H19" s="10"/>
      <c r="I19" s="10"/>
      <c r="J19" s="10"/>
    </row>
    <row r="20" spans="1:10" ht="15">
      <c r="A20" s="10">
        <f>AVERAGE(A14:A18)</f>
        <v>50.59126984126984</v>
      </c>
      <c r="B20" s="11"/>
      <c r="C20" s="12"/>
      <c r="D20" s="11"/>
      <c r="E20" s="11"/>
      <c r="F20" s="10">
        <f>AVERAGE(F14:F18)</f>
        <v>1.0054525689849814</v>
      </c>
      <c r="G20" s="10"/>
      <c r="H20" s="10"/>
      <c r="I20" s="10"/>
      <c r="J20" s="10"/>
    </row>
    <row r="21" spans="1:10" ht="15">
      <c r="A21" s="14" t="s">
        <v>41</v>
      </c>
      <c r="B21" s="11"/>
      <c r="C21" s="12"/>
      <c r="D21" s="11"/>
      <c r="E21" s="11"/>
      <c r="F21" s="10"/>
      <c r="G21" s="10"/>
      <c r="H21" s="10"/>
      <c r="I21" s="10"/>
      <c r="J21" s="10"/>
    </row>
    <row r="22" spans="1:10" ht="15">
      <c r="A22" s="10"/>
      <c r="B22" s="11"/>
      <c r="C22" s="12"/>
      <c r="D22" s="11"/>
      <c r="E22" s="11"/>
      <c r="F22" s="10"/>
      <c r="G22" s="10"/>
      <c r="H22" s="10"/>
      <c r="I22" s="10"/>
      <c r="J22" s="10"/>
    </row>
    <row r="23" spans="1:10" ht="15">
      <c r="A23" s="14" t="s">
        <v>18</v>
      </c>
      <c r="B23" s="11" t="s">
        <v>42</v>
      </c>
      <c r="C23" s="12" t="s">
        <v>43</v>
      </c>
      <c r="D23" s="11" t="s">
        <v>82</v>
      </c>
      <c r="E23" s="10" t="s">
        <v>45</v>
      </c>
      <c r="F23" s="10" t="s">
        <v>44</v>
      </c>
      <c r="G23" s="10" t="s">
        <v>115</v>
      </c>
      <c r="H23" s="10" t="s">
        <v>116</v>
      </c>
      <c r="I23" s="10" t="s">
        <v>117</v>
      </c>
      <c r="J23" s="10" t="s">
        <v>118</v>
      </c>
    </row>
    <row r="24" spans="1:10" ht="15">
      <c r="A24" s="14">
        <v>146.41</v>
      </c>
      <c r="B24" s="11">
        <v>1</v>
      </c>
      <c r="C24" s="12" t="s">
        <v>81</v>
      </c>
      <c r="D24" s="11">
        <v>8</v>
      </c>
      <c r="E24" s="62">
        <f>'2010 Energy'!L18</f>
        <v>27.57333333333332</v>
      </c>
      <c r="F24" s="62">
        <f>E24/D24</f>
        <v>3.446666666666665</v>
      </c>
      <c r="G24" s="10">
        <f>'2010 Energy'!I47</f>
        <v>197.4912</v>
      </c>
      <c r="H24" s="64">
        <f>'2010 Energy'!S6/'2010 Energy'!S7</f>
        <v>1.5589750769301196</v>
      </c>
      <c r="I24" s="64">
        <f>'2010 Energy'!F50</f>
        <v>103.73649134060294</v>
      </c>
      <c r="J24" s="64">
        <f>'2010 Energy'!F49</f>
        <v>42.67350865939706</v>
      </c>
    </row>
    <row r="25" spans="1:10" ht="15">
      <c r="A25" s="10"/>
      <c r="B25" s="11">
        <v>2</v>
      </c>
      <c r="C25" s="12" t="s">
        <v>37</v>
      </c>
      <c r="D25" s="11">
        <v>7</v>
      </c>
      <c r="E25" s="62">
        <f>'2010 Energy'!L24-E24</f>
        <v>26.27166666666668</v>
      </c>
      <c r="F25" s="62">
        <f>E25/D25</f>
        <v>3.75309523809524</v>
      </c>
      <c r="G25" s="10"/>
      <c r="H25" s="64"/>
      <c r="I25" s="64"/>
      <c r="J25" s="64"/>
    </row>
    <row r="26" spans="1:10" ht="15">
      <c r="A26" s="10"/>
      <c r="B26" s="11">
        <v>3</v>
      </c>
      <c r="C26" s="12" t="s">
        <v>38</v>
      </c>
      <c r="D26" s="11">
        <v>7</v>
      </c>
      <c r="E26" s="62">
        <f>'2010 Energy'!L31-'2010 Energy'!L24</f>
        <v>30.085000000000022</v>
      </c>
      <c r="F26" s="62">
        <f>E26/D26</f>
        <v>4.297857142857146</v>
      </c>
      <c r="G26" s="10"/>
      <c r="H26" s="10"/>
      <c r="I26" s="10"/>
      <c r="J26" s="10"/>
    </row>
    <row r="27" spans="1:10" ht="15">
      <c r="A27" s="10"/>
      <c r="B27" s="11">
        <v>4</v>
      </c>
      <c r="C27" s="12" t="s">
        <v>39</v>
      </c>
      <c r="D27" s="11">
        <v>7</v>
      </c>
      <c r="E27" s="62">
        <f>'2010 Energy'!L38-'2010 Energy'!L31</f>
        <v>29.516666666666694</v>
      </c>
      <c r="F27" s="62">
        <f>E27/D27</f>
        <v>4.21666666666667</v>
      </c>
      <c r="G27" s="10"/>
      <c r="H27" s="10"/>
      <c r="I27" s="10"/>
      <c r="J27" s="10"/>
    </row>
    <row r="28" spans="1:10" ht="15">
      <c r="A28" s="10"/>
      <c r="B28" s="11">
        <v>5</v>
      </c>
      <c r="C28" s="12" t="s">
        <v>40</v>
      </c>
      <c r="D28" s="11">
        <v>8</v>
      </c>
      <c r="E28" s="62">
        <f>'2010 Energy'!L46-'2010 Energy'!L38</f>
        <v>32.96333333333328</v>
      </c>
      <c r="F28" s="62">
        <f>E28/D28</f>
        <v>4.12041666666666</v>
      </c>
      <c r="G28" s="24"/>
      <c r="H28" s="10"/>
      <c r="I28" s="10"/>
      <c r="J28" s="10"/>
    </row>
    <row r="29" spans="1:10" ht="15">
      <c r="A29" s="10"/>
      <c r="B29" s="11"/>
      <c r="C29" s="12"/>
      <c r="D29" s="11"/>
      <c r="E29" s="62"/>
      <c r="F29" s="10"/>
      <c r="G29" s="10"/>
      <c r="H29" s="10"/>
      <c r="I29" s="10"/>
      <c r="J29" s="10"/>
    </row>
    <row r="30" spans="2:5" ht="15">
      <c r="B30" s="11"/>
      <c r="C30" s="12"/>
      <c r="D30" s="11"/>
      <c r="E30" s="62"/>
    </row>
    <row r="31" spans="2:5" ht="15">
      <c r="B31" s="11"/>
      <c r="C31" s="12"/>
      <c r="D31" s="11"/>
      <c r="E31" s="62"/>
    </row>
    <row r="32" spans="2:5" ht="15">
      <c r="B32" s="11"/>
      <c r="C32" s="12"/>
      <c r="D32" s="11"/>
      <c r="E32" s="62"/>
    </row>
    <row r="33" spans="1:5" ht="15">
      <c r="A33" s="6" t="s">
        <v>22</v>
      </c>
      <c r="B33" s="66">
        <v>2008</v>
      </c>
      <c r="C33" s="66">
        <v>2009</v>
      </c>
      <c r="D33" s="66">
        <v>2010</v>
      </c>
      <c r="E33" s="66"/>
    </row>
    <row r="34" spans="1:5" ht="15">
      <c r="A34" s="66">
        <v>1</v>
      </c>
      <c r="B34" s="3">
        <v>4.886625263771895</v>
      </c>
      <c r="C34" s="3">
        <v>2.5742080537499885</v>
      </c>
      <c r="D34" s="10">
        <v>2.0032096268163806</v>
      </c>
      <c r="E34" s="66"/>
    </row>
    <row r="35" spans="1:5" ht="15">
      <c r="A35" s="66">
        <v>2</v>
      </c>
      <c r="B35" s="3">
        <v>4.323465870911742</v>
      </c>
      <c r="C35" s="3">
        <v>3.8345348178901673</v>
      </c>
      <c r="D35" s="10">
        <v>1.9086049583730147</v>
      </c>
      <c r="E35" s="66"/>
    </row>
    <row r="36" spans="1:5" ht="15">
      <c r="A36" s="66">
        <v>3</v>
      </c>
      <c r="B36" s="3">
        <v>4.467518500959326</v>
      </c>
      <c r="C36" s="3">
        <v>2.5833861035974635</v>
      </c>
      <c r="D36" s="10">
        <v>1.675543412993876</v>
      </c>
      <c r="E36" s="66"/>
    </row>
    <row r="37" spans="1:5" ht="15">
      <c r="A37" s="66">
        <v>4</v>
      </c>
      <c r="B37" s="3">
        <v>4.756277086533872</v>
      </c>
      <c r="C37" s="3">
        <v>2.8813105333325204</v>
      </c>
      <c r="D37" s="10">
        <v>2.498153290378238</v>
      </c>
      <c r="E37" s="66"/>
    </row>
    <row r="38" spans="1:5" ht="15">
      <c r="A38" s="66">
        <v>5</v>
      </c>
      <c r="B38" s="3">
        <v>4.679481231585468</v>
      </c>
      <c r="C38" s="3">
        <v>3.287483764972303</v>
      </c>
      <c r="D38" s="10">
        <v>2.0865257595772784</v>
      </c>
      <c r="E38" s="66"/>
    </row>
    <row r="39" spans="2:5" ht="15">
      <c r="B39" s="66"/>
      <c r="C39" s="66"/>
      <c r="D39" s="66"/>
      <c r="E39" s="66"/>
    </row>
    <row r="40" spans="2:5" ht="15">
      <c r="B40" s="66"/>
      <c r="C40" s="66"/>
      <c r="D40" s="66"/>
      <c r="E40" s="66"/>
    </row>
    <row r="41" spans="1:5" ht="15">
      <c r="A41" s="6" t="s">
        <v>107</v>
      </c>
      <c r="B41" s="66">
        <v>2008</v>
      </c>
      <c r="C41" s="66">
        <v>2009</v>
      </c>
      <c r="D41" s="66">
        <v>2010</v>
      </c>
      <c r="E41" s="66"/>
    </row>
    <row r="42" spans="1:5" ht="15">
      <c r="A42" s="67">
        <v>1</v>
      </c>
      <c r="B42" s="3">
        <v>2.229688737774055</v>
      </c>
      <c r="C42" s="3">
        <v>1.1010770048760243</v>
      </c>
      <c r="D42" s="65">
        <v>0.774830005787037</v>
      </c>
      <c r="E42" s="66"/>
    </row>
    <row r="43" spans="1:5" ht="15">
      <c r="A43" s="67">
        <v>2</v>
      </c>
      <c r="B43" s="3">
        <v>1.6768103590417809</v>
      </c>
      <c r="C43" s="3">
        <v>1.4415154950869236</v>
      </c>
      <c r="D43" s="65">
        <v>0.626845699520118</v>
      </c>
      <c r="E43" s="66"/>
    </row>
    <row r="44" spans="1:5" ht="15">
      <c r="A44" s="67">
        <v>3</v>
      </c>
      <c r="B44" s="3">
        <v>1.1345642617318776</v>
      </c>
      <c r="C44" s="3">
        <v>0.9478458049886621</v>
      </c>
      <c r="D44" s="65">
        <v>1.060267857142857</v>
      </c>
      <c r="E44" s="66"/>
    </row>
    <row r="45" spans="1:5" ht="15">
      <c r="A45" s="67">
        <v>4</v>
      </c>
      <c r="B45" s="3">
        <v>1.0646279771764267</v>
      </c>
      <c r="C45" s="3">
        <v>1.6553859447004606</v>
      </c>
      <c r="D45" s="65">
        <v>0.973234531908001</v>
      </c>
      <c r="E45" s="66"/>
    </row>
    <row r="46" spans="1:5" ht="15">
      <c r="A46" s="67">
        <v>5</v>
      </c>
      <c r="B46" s="3">
        <v>1.6800419148899346</v>
      </c>
      <c r="C46" s="3">
        <v>1.9740979725223424</v>
      </c>
      <c r="D46" s="65">
        <v>1.592084750566894</v>
      </c>
      <c r="E46" s="66"/>
    </row>
    <row r="47" spans="1:5" ht="15">
      <c r="A47" s="67"/>
      <c r="B47" s="66"/>
      <c r="C47" s="66"/>
      <c r="D47" s="66"/>
      <c r="E47" s="66"/>
    </row>
    <row r="48" spans="1:5" ht="15">
      <c r="A48" s="67"/>
      <c r="B48" s="66"/>
      <c r="C48" s="66"/>
      <c r="D48" s="66"/>
      <c r="E48" s="66"/>
    </row>
    <row r="49" spans="1:5" ht="15">
      <c r="A49" s="67"/>
      <c r="B49" s="66"/>
      <c r="C49" s="66"/>
      <c r="D49" s="66"/>
      <c r="E49" s="66"/>
    </row>
    <row r="50" spans="1:5" ht="15">
      <c r="A50" s="67"/>
      <c r="C50" s="12"/>
      <c r="D50" s="12"/>
      <c r="E50" s="12"/>
    </row>
    <row r="51" spans="1:5" ht="15">
      <c r="A51" s="67"/>
      <c r="C51" s="12"/>
      <c r="D51" s="12"/>
      <c r="E51" s="12"/>
    </row>
    <row r="52" spans="1:5" ht="15">
      <c r="A52" s="67"/>
      <c r="C52" s="12"/>
      <c r="D52" s="12"/>
      <c r="E52" s="12"/>
    </row>
    <row r="53" spans="1:5" ht="15">
      <c r="A53" s="67"/>
      <c r="C53" s="12"/>
      <c r="D53" s="12"/>
      <c r="E53" s="12"/>
    </row>
    <row r="54" spans="1:5" ht="15">
      <c r="A54" s="67"/>
      <c r="C54" s="12"/>
      <c r="D54" s="12"/>
      <c r="E54" s="12"/>
    </row>
    <row r="55" spans="1:5" ht="15">
      <c r="A55" s="67"/>
      <c r="C55" s="12"/>
      <c r="D55" s="12"/>
      <c r="E55" s="12"/>
    </row>
    <row r="56" ht="15">
      <c r="A56" s="67"/>
    </row>
    <row r="57" ht="15">
      <c r="A57" s="67"/>
    </row>
  </sheetData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T86"/>
  <sheetViews>
    <sheetView workbookViewId="0" topLeftCell="A24">
      <selection activeCell="S6" sqref="S6"/>
    </sheetView>
  </sheetViews>
  <sheetFormatPr defaultColWidth="11.421875" defaultRowHeight="15"/>
  <cols>
    <col min="1" max="1" width="10.8515625" style="9" customWidth="1"/>
    <col min="2" max="2" width="10.8515625" style="20" customWidth="1"/>
    <col min="6" max="6" width="20.00390625" style="0" customWidth="1"/>
    <col min="7" max="10" width="14.421875" style="0" customWidth="1"/>
    <col min="11" max="11" width="20.00390625" style="0" customWidth="1"/>
  </cols>
  <sheetData>
    <row r="1" spans="1:22" ht="15">
      <c r="A1" s="30" t="s">
        <v>53</v>
      </c>
      <c r="B1" s="19"/>
      <c r="C1" s="16"/>
      <c r="D1" s="16"/>
      <c r="E1" s="16"/>
      <c r="F1" s="16"/>
      <c r="G1" s="31"/>
      <c r="H1" s="31"/>
      <c r="I1" s="31"/>
      <c r="J1" s="31"/>
      <c r="K1" s="16"/>
      <c r="L1" s="16"/>
      <c r="M1" s="31"/>
      <c r="N1" s="16"/>
      <c r="O1" s="16"/>
      <c r="P1" s="16"/>
      <c r="Q1" s="16"/>
      <c r="R1" s="16"/>
      <c r="S1" s="16"/>
      <c r="T1" s="16"/>
      <c r="U1" s="16"/>
      <c r="V1" s="16"/>
    </row>
    <row r="2" spans="1:22" ht="15">
      <c r="A2" s="30"/>
      <c r="B2" s="19"/>
      <c r="C2" s="16"/>
      <c r="D2" s="16"/>
      <c r="E2" s="16"/>
      <c r="F2" s="16"/>
      <c r="G2" s="31"/>
      <c r="H2" s="31"/>
      <c r="I2" s="31"/>
      <c r="J2" s="31"/>
      <c r="K2" s="16"/>
      <c r="L2" s="16"/>
      <c r="M2" s="31"/>
      <c r="N2" s="16"/>
      <c r="O2" s="16" t="s">
        <v>54</v>
      </c>
      <c r="P2" s="16">
        <v>330</v>
      </c>
      <c r="Q2" s="16" t="s">
        <v>55</v>
      </c>
      <c r="R2" s="16" t="s">
        <v>119</v>
      </c>
      <c r="S2" s="16">
        <v>6.6</v>
      </c>
      <c r="T2" s="16" t="s">
        <v>120</v>
      </c>
      <c r="U2" s="16"/>
      <c r="V2" s="16"/>
    </row>
    <row r="3" spans="1:22" ht="15">
      <c r="A3" s="73" t="s">
        <v>178</v>
      </c>
      <c r="B3" s="73"/>
      <c r="C3" s="73"/>
      <c r="D3" s="16"/>
      <c r="E3" s="16"/>
      <c r="F3" s="16"/>
      <c r="G3" s="31"/>
      <c r="H3" s="31"/>
      <c r="I3" s="31"/>
      <c r="J3" s="31"/>
      <c r="K3" s="16"/>
      <c r="L3" s="16"/>
      <c r="M3" s="31"/>
      <c r="N3" s="16"/>
      <c r="O3" s="16"/>
      <c r="P3" s="16">
        <v>87.30158730158728</v>
      </c>
      <c r="Q3" s="16" t="s">
        <v>179</v>
      </c>
      <c r="R3" s="16"/>
      <c r="S3" s="16">
        <v>79.19999999999999</v>
      </c>
      <c r="T3" s="16" t="s">
        <v>121</v>
      </c>
      <c r="U3" s="16"/>
      <c r="V3" s="16"/>
    </row>
    <row r="4" spans="1:22" ht="15">
      <c r="A4" s="32" t="s">
        <v>180</v>
      </c>
      <c r="B4" s="33">
        <v>48</v>
      </c>
      <c r="C4" s="16" t="s">
        <v>181</v>
      </c>
      <c r="D4" s="16"/>
      <c r="E4" s="16"/>
      <c r="F4" s="16"/>
      <c r="G4" s="31"/>
      <c r="H4" s="31"/>
      <c r="I4" s="31"/>
      <c r="J4" s="31"/>
      <c r="K4" s="16"/>
      <c r="L4" s="16"/>
      <c r="M4" s="31"/>
      <c r="N4" s="16"/>
      <c r="O4" s="16" t="s">
        <v>122</v>
      </c>
      <c r="P4" s="34">
        <v>37.27</v>
      </c>
      <c r="Q4" s="16" t="s">
        <v>123</v>
      </c>
      <c r="R4" s="16"/>
      <c r="S4" s="16">
        <v>0.0792</v>
      </c>
      <c r="T4" s="16" t="s">
        <v>124</v>
      </c>
      <c r="U4" s="16"/>
      <c r="V4" s="16"/>
    </row>
    <row r="5" spans="1:22" ht="15">
      <c r="A5" s="32" t="s">
        <v>182</v>
      </c>
      <c r="B5" s="33">
        <v>1.1</v>
      </c>
      <c r="C5" s="16" t="s">
        <v>183</v>
      </c>
      <c r="D5" s="16"/>
      <c r="E5" s="16"/>
      <c r="F5" s="16"/>
      <c r="G5" s="31"/>
      <c r="H5" s="31"/>
      <c r="I5" s="31"/>
      <c r="J5" s="31"/>
      <c r="K5" s="16"/>
      <c r="L5" s="16"/>
      <c r="M5" s="31"/>
      <c r="N5" s="16"/>
      <c r="O5" s="16"/>
      <c r="P5" s="34">
        <v>140.8806</v>
      </c>
      <c r="Q5" s="16" t="s">
        <v>125</v>
      </c>
      <c r="R5" s="16"/>
      <c r="S5" s="16">
        <v>1.9008</v>
      </c>
      <c r="T5" s="16" t="s">
        <v>126</v>
      </c>
      <c r="U5" s="16"/>
      <c r="V5" s="16"/>
    </row>
    <row r="6" spans="1:22" ht="15">
      <c r="A6" s="30" t="s">
        <v>127</v>
      </c>
      <c r="B6" s="33">
        <v>3600000</v>
      </c>
      <c r="C6" s="16"/>
      <c r="D6" s="16"/>
      <c r="E6" s="16"/>
      <c r="F6" s="16"/>
      <c r="G6" s="31"/>
      <c r="H6" s="31"/>
      <c r="I6" s="31"/>
      <c r="J6" s="31"/>
      <c r="K6" s="16"/>
      <c r="L6" s="16"/>
      <c r="M6" s="31"/>
      <c r="N6" s="16"/>
      <c r="O6" s="16"/>
      <c r="P6" s="35">
        <v>39.1335</v>
      </c>
      <c r="Q6" s="16" t="s">
        <v>128</v>
      </c>
      <c r="R6" s="16"/>
      <c r="S6" s="16">
        <v>66.52799999999999</v>
      </c>
      <c r="T6" s="74" t="s">
        <v>129</v>
      </c>
      <c r="U6" s="74"/>
      <c r="V6" s="16"/>
    </row>
    <row r="7" spans="1:22" ht="15">
      <c r="A7" s="30"/>
      <c r="B7" s="19"/>
      <c r="C7" s="16"/>
      <c r="D7" s="16"/>
      <c r="E7" s="16"/>
      <c r="F7" s="16"/>
      <c r="G7" s="31"/>
      <c r="H7" s="31"/>
      <c r="I7" s="31"/>
      <c r="J7" s="31"/>
      <c r="K7" s="16"/>
      <c r="L7" s="16"/>
      <c r="M7" s="31"/>
      <c r="N7" s="16"/>
      <c r="O7" s="16"/>
      <c r="P7" s="16"/>
      <c r="Q7" s="16"/>
      <c r="R7" s="16"/>
      <c r="S7" s="16">
        <v>42.6741908735351</v>
      </c>
      <c r="T7" s="16" t="s">
        <v>179</v>
      </c>
      <c r="U7" s="16"/>
      <c r="V7" s="16"/>
    </row>
    <row r="8" spans="1:22" ht="15">
      <c r="A8" s="30"/>
      <c r="B8" s="19"/>
      <c r="C8" s="16"/>
      <c r="D8" s="16"/>
      <c r="E8" s="16"/>
      <c r="F8" s="75" t="s">
        <v>184</v>
      </c>
      <c r="G8" s="75"/>
      <c r="H8" s="37"/>
      <c r="I8" s="37"/>
      <c r="J8" s="37"/>
      <c r="V8" s="16"/>
    </row>
    <row r="9" spans="1:18" ht="15">
      <c r="A9" s="30" t="s">
        <v>147</v>
      </c>
      <c r="B9" s="38" t="s">
        <v>148</v>
      </c>
      <c r="C9" s="75" t="s">
        <v>185</v>
      </c>
      <c r="D9" s="75"/>
      <c r="E9" s="37" t="s">
        <v>130</v>
      </c>
      <c r="F9" s="39" t="s">
        <v>186</v>
      </c>
      <c r="G9" s="40" t="s">
        <v>131</v>
      </c>
      <c r="H9" s="40" t="s">
        <v>19</v>
      </c>
      <c r="I9" s="40" t="s">
        <v>20</v>
      </c>
      <c r="J9" s="40" t="s">
        <v>21</v>
      </c>
      <c r="K9" s="41" t="s">
        <v>187</v>
      </c>
      <c r="L9" s="37" t="s">
        <v>0</v>
      </c>
      <c r="M9" s="37" t="s">
        <v>188</v>
      </c>
      <c r="N9" s="42" t="s">
        <v>189</v>
      </c>
      <c r="O9" s="42" t="s">
        <v>190</v>
      </c>
      <c r="P9" s="42" t="s">
        <v>1</v>
      </c>
      <c r="Q9" s="42" t="s">
        <v>2</v>
      </c>
      <c r="R9" s="37" t="s">
        <v>157</v>
      </c>
    </row>
    <row r="10" spans="1:18" ht="15">
      <c r="A10" s="30"/>
      <c r="B10" s="38"/>
      <c r="C10" s="42" t="s">
        <v>191</v>
      </c>
      <c r="D10" s="42" t="s">
        <v>23</v>
      </c>
      <c r="E10" s="42"/>
      <c r="F10" s="42" t="s">
        <v>192</v>
      </c>
      <c r="G10" s="43" t="s">
        <v>192</v>
      </c>
      <c r="H10" s="43"/>
      <c r="I10" s="43"/>
      <c r="J10" s="43"/>
      <c r="K10" s="42" t="s">
        <v>193</v>
      </c>
      <c r="L10" s="42" t="s">
        <v>193</v>
      </c>
      <c r="M10" s="42" t="s">
        <v>193</v>
      </c>
      <c r="N10" s="42" t="s">
        <v>192</v>
      </c>
      <c r="O10" s="42" t="s">
        <v>194</v>
      </c>
      <c r="P10" s="42" t="s">
        <v>3</v>
      </c>
      <c r="Q10" s="42"/>
      <c r="R10" s="37"/>
    </row>
    <row r="11" spans="1:15" s="28" customFormat="1" ht="15">
      <c r="A11" s="60">
        <v>40286</v>
      </c>
      <c r="B11" s="27">
        <v>0.25</v>
      </c>
      <c r="C11" s="28">
        <v>420</v>
      </c>
      <c r="D11" s="28">
        <v>0</v>
      </c>
      <c r="E11" s="28">
        <v>0</v>
      </c>
      <c r="F11" s="28">
        <v>35685</v>
      </c>
      <c r="G11" s="61"/>
      <c r="H11" s="61"/>
      <c r="I11" s="61"/>
      <c r="J11" s="61"/>
      <c r="K11" s="28">
        <v>0</v>
      </c>
      <c r="M11" s="28">
        <v>87.3</v>
      </c>
      <c r="N11" s="28">
        <v>6318.5</v>
      </c>
      <c r="O11" s="28">
        <v>40945</v>
      </c>
    </row>
    <row r="12" spans="1:17" s="28" customFormat="1" ht="15">
      <c r="A12" s="26">
        <v>40287</v>
      </c>
      <c r="B12" s="27">
        <v>0.302083333333333</v>
      </c>
      <c r="C12" s="28">
        <v>424</v>
      </c>
      <c r="D12" s="28">
        <v>50</v>
      </c>
      <c r="E12" s="28">
        <v>4.833333333333315</v>
      </c>
      <c r="F12" s="28">
        <v>35770.4</v>
      </c>
      <c r="G12" s="61">
        <v>85.40000000000146</v>
      </c>
      <c r="H12" s="63">
        <f>(G12*$B$4)*3600</f>
        <v>14757120.000000251</v>
      </c>
      <c r="I12" s="63">
        <f>H12/3600000</f>
        <v>4.09920000000007</v>
      </c>
      <c r="J12" s="63">
        <f>I12/(E12*$B$5)</f>
        <v>0.7710094043887308</v>
      </c>
      <c r="K12" s="28">
        <v>5.316666666666646</v>
      </c>
      <c r="L12" s="28">
        <v>5.316666666666646</v>
      </c>
      <c r="M12" s="28">
        <v>81.98333333333335</v>
      </c>
      <c r="N12" s="28">
        <v>6452.5</v>
      </c>
      <c r="O12" s="28">
        <v>41079.2</v>
      </c>
      <c r="P12" s="28">
        <v>134</v>
      </c>
      <c r="Q12" s="28">
        <v>134.1999999999971</v>
      </c>
    </row>
    <row r="13" spans="1:17" s="28" customFormat="1" ht="15">
      <c r="A13" s="26">
        <v>40288</v>
      </c>
      <c r="B13" s="27">
        <v>0.354166666666667</v>
      </c>
      <c r="C13" s="28">
        <v>430</v>
      </c>
      <c r="D13" s="28">
        <v>52</v>
      </c>
      <c r="E13" s="61">
        <v>6.03333333333336</v>
      </c>
      <c r="F13" s="28">
        <v>35986.4</v>
      </c>
      <c r="G13" s="61">
        <v>216</v>
      </c>
      <c r="H13" s="63">
        <f aca="true" t="shared" si="0" ref="H13:H47">(G13*$B$4)*3600</f>
        <v>37324800</v>
      </c>
      <c r="I13" s="63">
        <f aca="true" t="shared" si="1" ref="I13:I47">H13/3600000</f>
        <v>10.368</v>
      </c>
      <c r="J13" s="63">
        <f aca="true" t="shared" si="2" ref="J13:J47">I13/(E13*$B$5)</f>
        <v>1.562230035158205</v>
      </c>
      <c r="K13" s="28">
        <v>6.636666666666696</v>
      </c>
      <c r="L13" s="28">
        <v>11.953333333333342</v>
      </c>
      <c r="M13" s="28">
        <v>75.34666666666665</v>
      </c>
      <c r="N13" s="28">
        <v>134.2</v>
      </c>
      <c r="O13" s="28">
        <v>41314.2</v>
      </c>
      <c r="P13" s="28">
        <v>235</v>
      </c>
      <c r="Q13" s="28">
        <v>235</v>
      </c>
    </row>
    <row r="14" spans="1:18" s="28" customFormat="1" ht="15">
      <c r="A14" s="26">
        <v>40289</v>
      </c>
      <c r="B14" s="27">
        <v>0.357638888888889</v>
      </c>
      <c r="C14" s="28">
        <v>434</v>
      </c>
      <c r="D14" s="28">
        <v>43</v>
      </c>
      <c r="E14" s="61">
        <v>3.849999999999966</v>
      </c>
      <c r="F14" s="28">
        <v>36116.5</v>
      </c>
      <c r="G14" s="61">
        <v>130.0999999999985</v>
      </c>
      <c r="H14" s="63">
        <f t="shared" si="0"/>
        <v>22481279.99999974</v>
      </c>
      <c r="I14" s="63">
        <f t="shared" si="1"/>
        <v>6.244799999999928</v>
      </c>
      <c r="J14" s="63">
        <f t="shared" si="2"/>
        <v>1.4745690672963359</v>
      </c>
      <c r="K14" s="28">
        <v>4.234999999999963</v>
      </c>
      <c r="L14" s="28">
        <v>16.1883333333333</v>
      </c>
      <c r="M14" s="28">
        <v>71.1116666666667</v>
      </c>
      <c r="N14" s="28">
        <v>131.8</v>
      </c>
      <c r="O14" s="28">
        <v>41456.8</v>
      </c>
      <c r="P14" s="28">
        <v>142.6000000000058</v>
      </c>
      <c r="Q14" s="28">
        <v>142.6000000000058</v>
      </c>
      <c r="R14" s="28" t="s">
        <v>195</v>
      </c>
    </row>
    <row r="15" spans="1:18" s="28" customFormat="1" ht="15">
      <c r="A15" s="26">
        <v>40290</v>
      </c>
      <c r="B15" s="27">
        <v>0.416666666666667</v>
      </c>
      <c r="C15" s="28">
        <v>437</v>
      </c>
      <c r="D15" s="28">
        <v>0</v>
      </c>
      <c r="E15" s="61">
        <v>2.28333333333336</v>
      </c>
      <c r="F15" s="28">
        <v>36231.5</v>
      </c>
      <c r="G15" s="61">
        <v>115</v>
      </c>
      <c r="H15" s="63">
        <f t="shared" si="0"/>
        <v>19872000</v>
      </c>
      <c r="I15" s="63">
        <f t="shared" si="1"/>
        <v>5.52</v>
      </c>
      <c r="J15" s="63">
        <f t="shared" si="2"/>
        <v>2.1977438619774126</v>
      </c>
      <c r="K15" s="28">
        <v>2.511666666666696</v>
      </c>
      <c r="L15" s="28">
        <v>18.7</v>
      </c>
      <c r="M15" s="28">
        <v>68.6</v>
      </c>
      <c r="N15" s="28">
        <v>200.3</v>
      </c>
      <c r="O15" s="28">
        <v>41525.3</v>
      </c>
      <c r="P15" s="28">
        <v>68.5</v>
      </c>
      <c r="Q15" s="28">
        <v>68.5</v>
      </c>
      <c r="R15" s="28" t="s">
        <v>196</v>
      </c>
    </row>
    <row r="16" spans="1:17" s="28" customFormat="1" ht="15">
      <c r="A16" s="26">
        <v>40291</v>
      </c>
      <c r="B16" s="27">
        <v>0.349305555555555</v>
      </c>
      <c r="C16" s="28">
        <v>441</v>
      </c>
      <c r="D16" s="28">
        <v>0</v>
      </c>
      <c r="E16" s="61">
        <v>4</v>
      </c>
      <c r="F16" s="28">
        <v>36376.6</v>
      </c>
      <c r="G16" s="61">
        <v>145.0999999999985</v>
      </c>
      <c r="H16" s="63">
        <f t="shared" si="0"/>
        <v>25073279.99999974</v>
      </c>
      <c r="I16" s="63">
        <f t="shared" si="1"/>
        <v>6.9647999999999275</v>
      </c>
      <c r="J16" s="63">
        <f t="shared" si="2"/>
        <v>1.5829090909090744</v>
      </c>
      <c r="K16" s="28">
        <v>4.4</v>
      </c>
      <c r="L16" s="28">
        <v>23.1</v>
      </c>
      <c r="M16" s="28">
        <v>64.19999999999999</v>
      </c>
      <c r="N16" s="28">
        <v>407.5</v>
      </c>
      <c r="O16" s="28">
        <v>41732.5</v>
      </c>
      <c r="P16" s="28">
        <v>207.1999999999971</v>
      </c>
      <c r="Q16" s="28">
        <v>207.1999999999971</v>
      </c>
    </row>
    <row r="17" spans="1:17" s="28" customFormat="1" ht="15">
      <c r="A17" s="26">
        <v>40292</v>
      </c>
      <c r="B17" s="27">
        <v>0.347222222222222</v>
      </c>
      <c r="C17" s="28">
        <v>443</v>
      </c>
      <c r="D17" s="28">
        <v>5</v>
      </c>
      <c r="E17" s="61">
        <v>2.0833333333333144</v>
      </c>
      <c r="F17" s="28">
        <v>36476.6</v>
      </c>
      <c r="G17" s="61">
        <v>100</v>
      </c>
      <c r="H17" s="63">
        <f t="shared" si="0"/>
        <v>17280000</v>
      </c>
      <c r="I17" s="63">
        <f t="shared" si="1"/>
        <v>4.8</v>
      </c>
      <c r="J17" s="63">
        <f t="shared" si="2"/>
        <v>2.0945454545454734</v>
      </c>
      <c r="K17" s="28">
        <v>2.291666666666646</v>
      </c>
      <c r="L17" s="28">
        <v>25.39166666666665</v>
      </c>
      <c r="M17" s="28">
        <v>61.908333333333346</v>
      </c>
      <c r="N17" s="28">
        <v>514.8</v>
      </c>
      <c r="O17" s="28">
        <v>41839</v>
      </c>
      <c r="P17" s="28">
        <v>106.5</v>
      </c>
      <c r="Q17" s="28">
        <v>106.5</v>
      </c>
    </row>
    <row r="18" spans="1:18" s="28" customFormat="1" ht="15">
      <c r="A18" s="26">
        <v>40293</v>
      </c>
      <c r="B18" s="27">
        <v>0.343055555555556</v>
      </c>
      <c r="C18" s="28">
        <v>445</v>
      </c>
      <c r="D18" s="28">
        <v>4</v>
      </c>
      <c r="E18" s="61">
        <v>1.9833333333333478</v>
      </c>
      <c r="F18" s="28">
        <v>36612.3</v>
      </c>
      <c r="G18" s="61">
        <v>135.7000000000044</v>
      </c>
      <c r="H18" s="63">
        <f t="shared" si="0"/>
        <v>23448960.00000076</v>
      </c>
      <c r="I18" s="63">
        <f t="shared" si="1"/>
        <v>6.513600000000211</v>
      </c>
      <c r="J18" s="63">
        <f t="shared" si="2"/>
        <v>2.9856073338427027</v>
      </c>
      <c r="K18" s="28">
        <v>2.181666666666683</v>
      </c>
      <c r="L18" s="28">
        <v>27.57333333333332</v>
      </c>
      <c r="M18" s="28">
        <v>71.72666666666666</v>
      </c>
      <c r="N18" s="28">
        <v>644.4</v>
      </c>
      <c r="O18" s="28">
        <v>41969.4</v>
      </c>
      <c r="P18" s="28">
        <v>130.4000000000015</v>
      </c>
      <c r="Q18" s="28">
        <v>130.4000000000015</v>
      </c>
      <c r="R18" s="28" t="s">
        <v>197</v>
      </c>
    </row>
    <row r="19" spans="1:150" s="16" customFormat="1" ht="15">
      <c r="A19" s="44">
        <v>40298</v>
      </c>
      <c r="B19" s="19">
        <v>0.352083333333333</v>
      </c>
      <c r="C19" s="16">
        <v>454</v>
      </c>
      <c r="D19" s="16">
        <v>37</v>
      </c>
      <c r="E19" s="31">
        <v>9.55000000000001</v>
      </c>
      <c r="F19" s="16">
        <v>36727.3</v>
      </c>
      <c r="G19" s="31">
        <v>115</v>
      </c>
      <c r="H19" s="63">
        <f t="shared" si="0"/>
        <v>19872000</v>
      </c>
      <c r="I19" s="63">
        <f t="shared" si="1"/>
        <v>5.52</v>
      </c>
      <c r="J19" s="63">
        <f t="shared" si="2"/>
        <v>0.5254640647310799</v>
      </c>
      <c r="K19" s="16">
        <v>10.505000000000011</v>
      </c>
      <c r="L19" s="16">
        <v>38.07833333333335</v>
      </c>
      <c r="M19" s="16">
        <v>61.221666666666636</v>
      </c>
      <c r="N19" s="16">
        <v>794.3</v>
      </c>
      <c r="O19" s="16">
        <v>42119.3</v>
      </c>
      <c r="P19" s="16">
        <v>149.9000000000015</v>
      </c>
      <c r="Q19" s="16">
        <v>149.9000000000015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</row>
    <row r="20" spans="1:150" ht="15">
      <c r="A20" s="44">
        <v>40299</v>
      </c>
      <c r="B20" s="19">
        <v>0.356944444444444</v>
      </c>
      <c r="C20" s="16">
        <v>457</v>
      </c>
      <c r="D20" s="16">
        <v>45</v>
      </c>
      <c r="E20" s="31">
        <v>3.133333333333326</v>
      </c>
      <c r="F20" s="16">
        <v>36827.3</v>
      </c>
      <c r="G20" s="31">
        <v>100</v>
      </c>
      <c r="H20" s="63">
        <f t="shared" si="0"/>
        <v>17280000</v>
      </c>
      <c r="I20" s="63">
        <f t="shared" si="1"/>
        <v>4.8</v>
      </c>
      <c r="J20" s="63">
        <f t="shared" si="2"/>
        <v>1.392649903288204</v>
      </c>
      <c r="K20" s="16">
        <v>3.4466666666666588</v>
      </c>
      <c r="L20" s="16">
        <v>41.525</v>
      </c>
      <c r="M20" s="16">
        <v>57.775</v>
      </c>
      <c r="N20" s="16">
        <v>883.9</v>
      </c>
      <c r="O20" s="16">
        <v>42208.9</v>
      </c>
      <c r="P20" s="16">
        <v>89.59999999999856</v>
      </c>
      <c r="Q20" s="16">
        <v>89.59999999999856</v>
      </c>
      <c r="R20" s="16"/>
      <c r="S20" s="16"/>
      <c r="T20" s="16"/>
      <c r="U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</row>
    <row r="21" spans="1:150" ht="15">
      <c r="A21" s="44">
        <v>40300</v>
      </c>
      <c r="B21" s="19">
        <v>0.333333333333333</v>
      </c>
      <c r="C21" s="16">
        <v>460</v>
      </c>
      <c r="D21" s="16">
        <v>1</v>
      </c>
      <c r="E21" s="31">
        <v>2.266666666666651</v>
      </c>
      <c r="F21" s="16">
        <v>36952.4</v>
      </c>
      <c r="G21" s="31">
        <v>125.09999999999852</v>
      </c>
      <c r="H21" s="63">
        <f t="shared" si="0"/>
        <v>21617279.999999743</v>
      </c>
      <c r="I21" s="63">
        <f t="shared" si="1"/>
        <v>6.004799999999928</v>
      </c>
      <c r="J21" s="63">
        <f t="shared" si="2"/>
        <v>2.4083422459892927</v>
      </c>
      <c r="K21" s="16">
        <v>2.493333333333317</v>
      </c>
      <c r="L21" s="16">
        <v>44.018333333333324</v>
      </c>
      <c r="M21" s="16">
        <v>55.28166666666665</v>
      </c>
      <c r="N21" s="16">
        <v>997.7</v>
      </c>
      <c r="O21" s="16">
        <v>42322.7</v>
      </c>
      <c r="P21" s="16">
        <v>113.79999999999562</v>
      </c>
      <c r="Q21" s="16">
        <v>113.79999999999562</v>
      </c>
      <c r="R21" s="16"/>
      <c r="S21" s="16"/>
      <c r="T21" s="16"/>
      <c r="U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</row>
    <row r="22" spans="1:150" ht="15">
      <c r="A22" s="44">
        <v>40301</v>
      </c>
      <c r="B22" s="19">
        <v>0.346527777777778</v>
      </c>
      <c r="C22" s="16">
        <v>464</v>
      </c>
      <c r="D22" s="16">
        <v>51</v>
      </c>
      <c r="E22" s="31">
        <v>4.83333333333337</v>
      </c>
      <c r="F22" s="16">
        <v>37057.5</v>
      </c>
      <c r="G22" s="31">
        <v>105.09999999999852</v>
      </c>
      <c r="H22" s="63">
        <f t="shared" si="0"/>
        <v>18161279.999999743</v>
      </c>
      <c r="I22" s="63">
        <f t="shared" si="1"/>
        <v>5.0447999999999285</v>
      </c>
      <c r="J22" s="63">
        <f t="shared" si="2"/>
        <v>0.9488652037617347</v>
      </c>
      <c r="K22" s="16">
        <v>5.316666666666708</v>
      </c>
      <c r="L22" s="16">
        <v>49.33500000000004</v>
      </c>
      <c r="M22" s="16">
        <v>49.96499999999996</v>
      </c>
      <c r="N22" s="16">
        <v>1091.6</v>
      </c>
      <c r="O22" s="16">
        <v>42416.6</v>
      </c>
      <c r="P22" s="16">
        <v>93.90000000000146</v>
      </c>
      <c r="Q22" s="16">
        <v>93.90000000000146</v>
      </c>
      <c r="R22" s="16"/>
      <c r="S22" s="16"/>
      <c r="T22" s="16"/>
      <c r="U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</row>
    <row r="23" spans="1:150" ht="15">
      <c r="A23" s="44">
        <v>40302</v>
      </c>
      <c r="B23" s="19">
        <v>0.333333333333333</v>
      </c>
      <c r="C23" s="16">
        <v>466</v>
      </c>
      <c r="D23" s="16">
        <v>14</v>
      </c>
      <c r="E23" s="31">
        <v>1.383333333333326</v>
      </c>
      <c r="F23" s="16">
        <v>37132.5</v>
      </c>
      <c r="G23" s="31">
        <v>75</v>
      </c>
      <c r="H23" s="63">
        <f t="shared" si="0"/>
        <v>12960000</v>
      </c>
      <c r="I23" s="63">
        <f t="shared" si="1"/>
        <v>3.6</v>
      </c>
      <c r="J23" s="63">
        <f t="shared" si="2"/>
        <v>2.3658269441402093</v>
      </c>
      <c r="K23" s="16">
        <v>1.521666666666659</v>
      </c>
      <c r="L23" s="16">
        <v>50.8566666666667</v>
      </c>
      <c r="M23" s="16">
        <v>48.4433333333333</v>
      </c>
      <c r="N23" s="16">
        <v>1146.8</v>
      </c>
      <c r="O23" s="16">
        <v>42471.8</v>
      </c>
      <c r="P23" s="16">
        <v>55.20000000000437</v>
      </c>
      <c r="Q23" s="16">
        <v>55.20000000000437</v>
      </c>
      <c r="R23" s="16"/>
      <c r="S23" s="16"/>
      <c r="T23" s="16"/>
      <c r="U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</row>
    <row r="24" spans="1:150" ht="15">
      <c r="A24" s="44">
        <v>40303</v>
      </c>
      <c r="B24" s="19">
        <v>0.344444444444444</v>
      </c>
      <c r="C24" s="16">
        <v>468</v>
      </c>
      <c r="D24" s="16">
        <v>57</v>
      </c>
      <c r="E24" s="31">
        <v>2.71666666666664</v>
      </c>
      <c r="F24" s="16">
        <v>37238.6</v>
      </c>
      <c r="G24" s="31">
        <v>106.09999999999852</v>
      </c>
      <c r="H24" s="63">
        <f t="shared" si="0"/>
        <v>18334079.999999743</v>
      </c>
      <c r="I24" s="63">
        <f t="shared" si="1"/>
        <v>5.0927999999999285</v>
      </c>
      <c r="J24" s="63">
        <f t="shared" si="2"/>
        <v>1.7042275515895073</v>
      </c>
      <c r="K24" s="16">
        <v>2.988333333333304</v>
      </c>
      <c r="L24" s="16">
        <v>53.845</v>
      </c>
      <c r="M24" s="16">
        <v>45.455</v>
      </c>
      <c r="N24" s="16">
        <v>1245.7</v>
      </c>
      <c r="O24" s="16">
        <v>42570.7</v>
      </c>
      <c r="P24" s="16">
        <v>98.89999999999418</v>
      </c>
      <c r="Q24" s="16">
        <v>98.89999999999418</v>
      </c>
      <c r="R24" s="16"/>
      <c r="S24" s="16"/>
      <c r="T24" s="16"/>
      <c r="U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</row>
    <row r="25" spans="1:17" s="28" customFormat="1" ht="15">
      <c r="A25" s="26">
        <v>40304</v>
      </c>
      <c r="B25" s="27">
        <v>0.34375</v>
      </c>
      <c r="C25" s="28">
        <v>471</v>
      </c>
      <c r="D25" s="28">
        <v>42</v>
      </c>
      <c r="E25" s="61">
        <v>2.75</v>
      </c>
      <c r="F25" s="28">
        <v>37338.6</v>
      </c>
      <c r="G25" s="61">
        <v>100</v>
      </c>
      <c r="H25" s="63">
        <f t="shared" si="0"/>
        <v>17280000</v>
      </c>
      <c r="I25" s="63">
        <f t="shared" si="1"/>
        <v>4.8</v>
      </c>
      <c r="J25" s="63">
        <f t="shared" si="2"/>
        <v>1.586776859504132</v>
      </c>
      <c r="K25" s="28">
        <v>3.025</v>
      </c>
      <c r="L25" s="28">
        <v>56.87</v>
      </c>
      <c r="M25" s="28">
        <v>42.43</v>
      </c>
      <c r="N25" s="28">
        <v>1339.8</v>
      </c>
      <c r="O25" s="28">
        <v>42664.8</v>
      </c>
      <c r="P25" s="28">
        <v>94.1000000000058</v>
      </c>
      <c r="Q25" s="28">
        <v>94.1000000000058</v>
      </c>
    </row>
    <row r="26" spans="1:17" s="28" customFormat="1" ht="15">
      <c r="A26" s="26">
        <v>40305</v>
      </c>
      <c r="B26" s="27">
        <v>0.333333333333333</v>
      </c>
      <c r="C26" s="28">
        <v>474</v>
      </c>
      <c r="D26" s="28">
        <v>44</v>
      </c>
      <c r="E26" s="61">
        <v>3.03333333333336</v>
      </c>
      <c r="F26" s="28">
        <v>37439.2</v>
      </c>
      <c r="G26" s="61">
        <v>100.59999999999852</v>
      </c>
      <c r="H26" s="63">
        <f t="shared" si="0"/>
        <v>17383679.999999743</v>
      </c>
      <c r="I26" s="63">
        <f t="shared" si="1"/>
        <v>4.828799999999928</v>
      </c>
      <c r="J26" s="63">
        <f t="shared" si="2"/>
        <v>1.4471928071927729</v>
      </c>
      <c r="K26" s="28">
        <v>3.3366666666666958</v>
      </c>
      <c r="L26" s="28">
        <v>60.20666666666668</v>
      </c>
      <c r="M26" s="28">
        <v>39.0933333333333</v>
      </c>
      <c r="N26" s="28">
        <v>1409.7</v>
      </c>
      <c r="O26" s="28">
        <v>42734.7</v>
      </c>
      <c r="P26" s="28">
        <v>69.89999999999418</v>
      </c>
      <c r="Q26" s="28">
        <v>69.89999999999418</v>
      </c>
    </row>
    <row r="27" spans="1:17" s="28" customFormat="1" ht="15">
      <c r="A27" s="26">
        <v>40306</v>
      </c>
      <c r="B27" s="27">
        <v>0.386111111111111</v>
      </c>
      <c r="C27" s="28">
        <v>479</v>
      </c>
      <c r="D27" s="28">
        <v>58</v>
      </c>
      <c r="E27" s="61">
        <v>5.233333333333292</v>
      </c>
      <c r="F27" s="28">
        <v>37579.5</v>
      </c>
      <c r="G27" s="61">
        <v>140.3000000000029</v>
      </c>
      <c r="H27" s="63">
        <f t="shared" si="0"/>
        <v>24243840.000000503</v>
      </c>
      <c r="I27" s="63">
        <f t="shared" si="1"/>
        <v>6.734400000000139</v>
      </c>
      <c r="J27" s="63">
        <f t="shared" si="2"/>
        <v>1.1698436595252215</v>
      </c>
      <c r="K27" s="28">
        <v>5.7566666666666215</v>
      </c>
      <c r="L27" s="28">
        <v>65.96333333333331</v>
      </c>
      <c r="M27" s="28">
        <v>33.33666666666667</v>
      </c>
      <c r="N27" s="28">
        <v>1503.5</v>
      </c>
      <c r="O27" s="28">
        <v>42828.4</v>
      </c>
      <c r="P27" s="28">
        <v>93.70000000000437</v>
      </c>
      <c r="Q27" s="28">
        <v>93.70000000000437</v>
      </c>
    </row>
    <row r="28" spans="1:18" s="28" customFormat="1" ht="15">
      <c r="A28" s="26">
        <v>40307</v>
      </c>
      <c r="B28" s="27">
        <v>0.354166666666667</v>
      </c>
      <c r="C28" s="28">
        <v>479</v>
      </c>
      <c r="D28" s="28">
        <v>58</v>
      </c>
      <c r="E28" s="61">
        <v>0</v>
      </c>
      <c r="F28" s="28">
        <v>37579.5</v>
      </c>
      <c r="G28" s="61">
        <v>0</v>
      </c>
      <c r="H28" s="63">
        <f t="shared" si="0"/>
        <v>0</v>
      </c>
      <c r="I28" s="63">
        <f t="shared" si="1"/>
        <v>0</v>
      </c>
      <c r="J28" s="63"/>
      <c r="K28" s="28">
        <v>0</v>
      </c>
      <c r="L28" s="28">
        <v>65.96333333333331</v>
      </c>
      <c r="M28" s="28">
        <v>53.33666666666667</v>
      </c>
      <c r="N28" s="28">
        <v>1503.4</v>
      </c>
      <c r="O28" s="28">
        <v>42828.4</v>
      </c>
      <c r="P28" s="28">
        <v>0</v>
      </c>
      <c r="Q28" s="28">
        <v>0</v>
      </c>
      <c r="R28" s="28" t="s">
        <v>198</v>
      </c>
    </row>
    <row r="29" spans="1:17" s="28" customFormat="1" ht="15">
      <c r="A29" s="26">
        <v>40308</v>
      </c>
      <c r="B29" s="27">
        <v>0.340972222222222</v>
      </c>
      <c r="C29" s="28">
        <v>485</v>
      </c>
      <c r="D29" s="28">
        <v>52</v>
      </c>
      <c r="E29" s="61">
        <v>5.900000000000035</v>
      </c>
      <c r="F29" s="28">
        <v>37719.5</v>
      </c>
      <c r="G29" s="61">
        <v>140</v>
      </c>
      <c r="H29" s="63">
        <f t="shared" si="0"/>
        <v>24192000</v>
      </c>
      <c r="I29" s="63">
        <f t="shared" si="1"/>
        <v>6.72</v>
      </c>
      <c r="J29" s="63">
        <f t="shared" si="2"/>
        <v>1.0354391371340461</v>
      </c>
      <c r="K29" s="28">
        <v>6.490000000000038</v>
      </c>
      <c r="L29" s="28">
        <v>72.45333333333335</v>
      </c>
      <c r="M29" s="28">
        <v>46.84666666666663</v>
      </c>
      <c r="N29" s="28">
        <v>1711.7</v>
      </c>
      <c r="O29" s="28">
        <v>43036.7</v>
      </c>
      <c r="P29" s="28">
        <v>208.29999999999558</v>
      </c>
      <c r="Q29" s="28">
        <v>208.29999999999558</v>
      </c>
    </row>
    <row r="30" spans="1:18" s="28" customFormat="1" ht="15">
      <c r="A30" s="26">
        <v>40309</v>
      </c>
      <c r="B30" s="27">
        <v>0.34375</v>
      </c>
      <c r="C30" s="28">
        <v>489</v>
      </c>
      <c r="D30" s="28">
        <v>18</v>
      </c>
      <c r="E30" s="61">
        <v>3.433333333333337</v>
      </c>
      <c r="F30" s="28">
        <v>37814.7</v>
      </c>
      <c r="G30" s="61">
        <v>95.1999999999971</v>
      </c>
      <c r="H30" s="63">
        <f t="shared" si="0"/>
        <v>16450559.9999995</v>
      </c>
      <c r="I30" s="63">
        <f t="shared" si="1"/>
        <v>4.569599999999862</v>
      </c>
      <c r="J30" s="63">
        <f t="shared" si="2"/>
        <v>1.209955869373307</v>
      </c>
      <c r="K30" s="28">
        <v>3.776666666666671</v>
      </c>
      <c r="L30" s="28">
        <v>76.23000000000002</v>
      </c>
      <c r="M30" s="28">
        <v>43.06999999999998</v>
      </c>
      <c r="N30" s="28">
        <v>1777.6</v>
      </c>
      <c r="O30" s="28">
        <v>43102.6</v>
      </c>
      <c r="P30" s="28">
        <v>65.90000000000146</v>
      </c>
      <c r="Q30" s="28">
        <v>65.90000000000146</v>
      </c>
      <c r="R30" s="28" t="s">
        <v>199</v>
      </c>
    </row>
    <row r="31" spans="1:18" s="28" customFormat="1" ht="15">
      <c r="A31" s="26">
        <v>40310</v>
      </c>
      <c r="B31" s="27">
        <v>0.364583333333333</v>
      </c>
      <c r="C31" s="28">
        <v>496</v>
      </c>
      <c r="D31" s="28">
        <v>18</v>
      </c>
      <c r="E31" s="61">
        <v>7</v>
      </c>
      <c r="F31" s="28">
        <v>37985.6</v>
      </c>
      <c r="G31" s="61">
        <v>170.9000000000015</v>
      </c>
      <c r="H31" s="63">
        <f t="shared" si="0"/>
        <v>29531520.000000264</v>
      </c>
      <c r="I31" s="63">
        <f t="shared" si="1"/>
        <v>8.203200000000074</v>
      </c>
      <c r="J31" s="63">
        <f t="shared" si="2"/>
        <v>1.0653506493506588</v>
      </c>
      <c r="K31" s="28">
        <v>7.700000000000001</v>
      </c>
      <c r="L31" s="28">
        <v>83.93000000000002</v>
      </c>
      <c r="M31" s="28">
        <v>58.369999999999976</v>
      </c>
      <c r="N31" s="28">
        <v>1933.2</v>
      </c>
      <c r="O31" s="28">
        <v>43258.2</v>
      </c>
      <c r="P31" s="28">
        <v>155.5999999999985</v>
      </c>
      <c r="Q31" s="28">
        <v>155.5999999999985</v>
      </c>
      <c r="R31" s="28" t="s">
        <v>200</v>
      </c>
    </row>
    <row r="32" spans="1:150" s="13" customFormat="1" ht="15">
      <c r="A32" s="44">
        <v>40314</v>
      </c>
      <c r="B32" s="19">
        <v>0.0520833333333333</v>
      </c>
      <c r="C32" s="16">
        <v>503</v>
      </c>
      <c r="D32" s="16">
        <v>44</v>
      </c>
      <c r="E32" s="31">
        <v>7.433333333333339</v>
      </c>
      <c r="F32" s="16">
        <v>38121.6</v>
      </c>
      <c r="G32" s="31">
        <v>136</v>
      </c>
      <c r="H32" s="63">
        <f t="shared" si="0"/>
        <v>23500800</v>
      </c>
      <c r="I32" s="63">
        <f t="shared" si="1"/>
        <v>6.528</v>
      </c>
      <c r="J32" s="63">
        <f t="shared" si="2"/>
        <v>0.7983693436608228</v>
      </c>
      <c r="K32" s="16">
        <v>8.17666666666667</v>
      </c>
      <c r="L32" s="16">
        <v>92.1066666666667</v>
      </c>
      <c r="M32" s="16">
        <v>74.1933333333333</v>
      </c>
      <c r="N32" s="16">
        <v>2071.7</v>
      </c>
      <c r="O32" s="16">
        <v>43396.7</v>
      </c>
      <c r="P32" s="16">
        <v>138.5</v>
      </c>
      <c r="Q32" s="16">
        <v>138.5</v>
      </c>
      <c r="R32" s="16" t="s">
        <v>201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</row>
    <row r="33" spans="1:150" ht="15">
      <c r="A33" s="44">
        <v>40315</v>
      </c>
      <c r="B33" s="19">
        <v>0.347222222222222</v>
      </c>
      <c r="C33" s="16">
        <v>505</v>
      </c>
      <c r="D33" s="16">
        <v>48</v>
      </c>
      <c r="E33" s="31">
        <v>2.066666666666663</v>
      </c>
      <c r="F33" s="16">
        <v>38181.6</v>
      </c>
      <c r="G33" s="31">
        <v>60</v>
      </c>
      <c r="H33" s="63">
        <f t="shared" si="0"/>
        <v>10368000</v>
      </c>
      <c r="I33" s="63">
        <f t="shared" si="1"/>
        <v>2.88</v>
      </c>
      <c r="J33" s="63">
        <f t="shared" si="2"/>
        <v>1.2668621700879787</v>
      </c>
      <c r="K33" s="16">
        <v>2.273333333333329</v>
      </c>
      <c r="L33" s="16">
        <v>94.38000000000001</v>
      </c>
      <c r="M33" s="16">
        <v>71.91999999999999</v>
      </c>
      <c r="N33" s="16">
        <v>2170.6</v>
      </c>
      <c r="O33" s="16">
        <v>43495.6</v>
      </c>
      <c r="P33" s="16">
        <v>98.90000000000146</v>
      </c>
      <c r="Q33" s="16">
        <v>98.90000000000146</v>
      </c>
      <c r="R33" s="16"/>
      <c r="S33" s="16"/>
      <c r="T33" s="16"/>
      <c r="U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</row>
    <row r="34" spans="1:150" ht="15">
      <c r="A34" s="44">
        <v>40316</v>
      </c>
      <c r="B34" s="19">
        <v>0.333333333333333</v>
      </c>
      <c r="C34" s="16">
        <v>509</v>
      </c>
      <c r="D34" s="16">
        <v>44</v>
      </c>
      <c r="E34" s="31">
        <v>3.933333333333337</v>
      </c>
      <c r="F34" s="16">
        <v>38302.4</v>
      </c>
      <c r="G34" s="31">
        <v>120.8000000000029</v>
      </c>
      <c r="H34" s="63">
        <f t="shared" si="0"/>
        <v>20874240.0000005</v>
      </c>
      <c r="I34" s="63">
        <f t="shared" si="1"/>
        <v>5.7984000000001386</v>
      </c>
      <c r="J34" s="63">
        <f t="shared" si="2"/>
        <v>1.3401540832049612</v>
      </c>
      <c r="K34" s="16">
        <v>4.326666666666671</v>
      </c>
      <c r="L34" s="16">
        <v>98.70666666666669</v>
      </c>
      <c r="M34" s="16">
        <v>67.5933333333333</v>
      </c>
      <c r="N34" s="16">
        <v>2289.2</v>
      </c>
      <c r="O34" s="16">
        <v>43614.2</v>
      </c>
      <c r="P34" s="16">
        <v>118.59999999999852</v>
      </c>
      <c r="Q34" s="16">
        <v>118.59999999999852</v>
      </c>
      <c r="R34" s="16"/>
      <c r="S34" s="16"/>
      <c r="T34" s="16"/>
      <c r="U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</row>
    <row r="35" spans="1:150" ht="15">
      <c r="A35" s="44">
        <v>40317</v>
      </c>
      <c r="B35" s="19">
        <v>0.333333333333333</v>
      </c>
      <c r="C35" s="16">
        <v>516</v>
      </c>
      <c r="D35" s="16">
        <v>7</v>
      </c>
      <c r="E35" s="31">
        <v>6.383333333333327</v>
      </c>
      <c r="F35" s="16">
        <v>38487.4</v>
      </c>
      <c r="G35" s="31">
        <v>185</v>
      </c>
      <c r="H35" s="63">
        <f t="shared" si="0"/>
        <v>31968000</v>
      </c>
      <c r="I35" s="63">
        <f t="shared" si="1"/>
        <v>8.88</v>
      </c>
      <c r="J35" s="63">
        <f t="shared" si="2"/>
        <v>1.2646570140042737</v>
      </c>
      <c r="K35" s="16">
        <v>7.0216666666666585</v>
      </c>
      <c r="L35" s="16">
        <v>105.72833333333338</v>
      </c>
      <c r="M35" s="16">
        <v>60.57166666666662</v>
      </c>
      <c r="N35" s="16">
        <v>2456.3</v>
      </c>
      <c r="O35" s="16">
        <v>43781.3</v>
      </c>
      <c r="P35" s="16">
        <v>167.1000000000058</v>
      </c>
      <c r="Q35" s="16">
        <v>167.1000000000058</v>
      </c>
      <c r="R35" s="16"/>
      <c r="S35" s="16"/>
      <c r="T35" s="16"/>
      <c r="U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</row>
    <row r="36" spans="1:150" ht="15">
      <c r="A36" s="44">
        <v>40318</v>
      </c>
      <c r="B36" s="19">
        <v>0.329861111111111</v>
      </c>
      <c r="C36" s="16">
        <v>517</v>
      </c>
      <c r="D36" s="16">
        <v>39</v>
      </c>
      <c r="E36" s="31">
        <v>1.533333333333303</v>
      </c>
      <c r="F36" s="16">
        <v>38582.4</v>
      </c>
      <c r="G36" s="31">
        <v>95</v>
      </c>
      <c r="H36" s="63">
        <f t="shared" si="0"/>
        <v>16416000</v>
      </c>
      <c r="I36" s="63">
        <f t="shared" si="1"/>
        <v>4.56</v>
      </c>
      <c r="J36" s="63">
        <f t="shared" si="2"/>
        <v>2.7035573122530177</v>
      </c>
      <c r="K36" s="16">
        <v>1.6866666666666332</v>
      </c>
      <c r="L36" s="16">
        <v>107.415</v>
      </c>
      <c r="M36" s="16">
        <v>58.885000000000005</v>
      </c>
      <c r="N36" s="16">
        <v>2552.3</v>
      </c>
      <c r="O36" s="16">
        <v>43877.3</v>
      </c>
      <c r="P36" s="16">
        <v>96</v>
      </c>
      <c r="Q36" s="16">
        <v>96</v>
      </c>
      <c r="R36" s="16"/>
      <c r="S36" s="16"/>
      <c r="T36" s="16"/>
      <c r="U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</row>
    <row r="37" spans="1:150" ht="15">
      <c r="A37" s="44">
        <v>40319</v>
      </c>
      <c r="B37" s="19">
        <v>0.333333333333333</v>
      </c>
      <c r="C37" s="16">
        <v>519</v>
      </c>
      <c r="D37" s="16">
        <v>26</v>
      </c>
      <c r="E37" s="31">
        <v>1.7833333333333032</v>
      </c>
      <c r="F37" s="16">
        <v>38657.4</v>
      </c>
      <c r="G37" s="31">
        <v>75</v>
      </c>
      <c r="H37" s="63">
        <f t="shared" si="0"/>
        <v>12960000</v>
      </c>
      <c r="I37" s="63">
        <f t="shared" si="1"/>
        <v>3.6</v>
      </c>
      <c r="J37" s="63">
        <f t="shared" si="2"/>
        <v>1.8351741716228005</v>
      </c>
      <c r="K37" s="16">
        <v>1.9616666666666338</v>
      </c>
      <c r="L37" s="16">
        <v>109.3766666666666</v>
      </c>
      <c r="M37" s="16">
        <v>56.92333333333338</v>
      </c>
      <c r="N37" s="16">
        <v>2696.8</v>
      </c>
      <c r="O37" s="16">
        <v>44021.8</v>
      </c>
      <c r="P37" s="16">
        <v>144.5</v>
      </c>
      <c r="Q37" s="16">
        <v>144.5</v>
      </c>
      <c r="R37" s="16"/>
      <c r="S37" s="16"/>
      <c r="T37" s="16"/>
      <c r="U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</row>
    <row r="38" spans="1:150" ht="15">
      <c r="A38" s="44">
        <v>40320</v>
      </c>
      <c r="B38" s="19">
        <v>0.34375</v>
      </c>
      <c r="C38" s="16">
        <v>523</v>
      </c>
      <c r="D38" s="16">
        <v>8</v>
      </c>
      <c r="E38" s="31">
        <v>3.700000000000045</v>
      </c>
      <c r="F38" s="16">
        <v>38812.4</v>
      </c>
      <c r="G38" s="31">
        <v>155</v>
      </c>
      <c r="H38" s="63">
        <f t="shared" si="0"/>
        <v>26784000</v>
      </c>
      <c r="I38" s="63">
        <f t="shared" si="1"/>
        <v>7.44</v>
      </c>
      <c r="J38" s="63">
        <f t="shared" si="2"/>
        <v>1.8280098280098056</v>
      </c>
      <c r="K38" s="16">
        <v>4.07000000000005</v>
      </c>
      <c r="L38" s="16">
        <v>113.44666666666672</v>
      </c>
      <c r="M38" s="16">
        <v>52.853333333333325</v>
      </c>
      <c r="N38" s="16">
        <v>2827.6</v>
      </c>
      <c r="O38" s="16">
        <v>44152.6</v>
      </c>
      <c r="P38" s="16">
        <v>130.79999999999558</v>
      </c>
      <c r="Q38" s="16">
        <v>130.79999999999558</v>
      </c>
      <c r="R38" s="16"/>
      <c r="S38" s="16"/>
      <c r="T38" s="16"/>
      <c r="U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</row>
    <row r="39" spans="1:18" s="28" customFormat="1" ht="15">
      <c r="A39" s="26">
        <v>40321</v>
      </c>
      <c r="B39" s="27">
        <v>0.34375</v>
      </c>
      <c r="C39" s="28">
        <v>525</v>
      </c>
      <c r="D39" s="28">
        <v>32</v>
      </c>
      <c r="E39" s="61">
        <v>2.399999999999977</v>
      </c>
      <c r="F39" s="28">
        <v>38887.4</v>
      </c>
      <c r="G39" s="61">
        <v>75</v>
      </c>
      <c r="H39" s="63">
        <f t="shared" si="0"/>
        <v>12960000</v>
      </c>
      <c r="I39" s="63">
        <f t="shared" si="1"/>
        <v>3.6</v>
      </c>
      <c r="J39" s="63">
        <f t="shared" si="2"/>
        <v>1.3636363636363766</v>
      </c>
      <c r="K39" s="28">
        <v>2.639999999999975</v>
      </c>
      <c r="L39" s="28">
        <v>116.0866666666666</v>
      </c>
      <c r="M39" s="28">
        <v>71.71333333333337</v>
      </c>
      <c r="N39" s="28">
        <v>2858.8</v>
      </c>
      <c r="O39" s="28">
        <v>44183.8</v>
      </c>
      <c r="P39" s="28">
        <v>31.20000000000437</v>
      </c>
      <c r="Q39" s="28">
        <v>31.20000000000437</v>
      </c>
      <c r="R39" s="28" t="s">
        <v>202</v>
      </c>
    </row>
    <row r="40" spans="1:17" s="28" customFormat="1" ht="15">
      <c r="A40" s="26">
        <v>40322</v>
      </c>
      <c r="B40" s="27">
        <v>0.302083333333333</v>
      </c>
      <c r="C40" s="28">
        <v>529</v>
      </c>
      <c r="D40" s="28">
        <v>28</v>
      </c>
      <c r="E40" s="61">
        <v>3.933333333333394</v>
      </c>
      <c r="F40" s="28">
        <v>38952.65</v>
      </c>
      <c r="G40" s="61">
        <v>65.25</v>
      </c>
      <c r="H40" s="63">
        <f t="shared" si="0"/>
        <v>11275200</v>
      </c>
      <c r="I40" s="63">
        <f t="shared" si="1"/>
        <v>3.132</v>
      </c>
      <c r="J40" s="63">
        <f t="shared" si="2"/>
        <v>0.7238828967642416</v>
      </c>
      <c r="K40" s="28">
        <v>4.326666666666734</v>
      </c>
      <c r="L40" s="28">
        <v>120.4133333333334</v>
      </c>
      <c r="M40" s="28">
        <v>67.38666666666663</v>
      </c>
      <c r="N40" s="28">
        <v>2974.5</v>
      </c>
      <c r="O40" s="28">
        <v>44299.5</v>
      </c>
      <c r="P40" s="28">
        <v>115.69999999999712</v>
      </c>
      <c r="Q40" s="28">
        <v>115.69999999999712</v>
      </c>
    </row>
    <row r="41" spans="1:18" s="28" customFormat="1" ht="15">
      <c r="A41" s="26">
        <v>40323</v>
      </c>
      <c r="B41" s="27">
        <v>0.333333333333333</v>
      </c>
      <c r="C41" s="28">
        <v>531</v>
      </c>
      <c r="D41" s="28">
        <v>44</v>
      </c>
      <c r="E41" s="61">
        <v>2.266666666666651</v>
      </c>
      <c r="F41" s="28">
        <v>39017.9</v>
      </c>
      <c r="G41" s="61">
        <v>65.25</v>
      </c>
      <c r="H41" s="63">
        <f t="shared" si="0"/>
        <v>11275200</v>
      </c>
      <c r="I41" s="63">
        <f t="shared" si="1"/>
        <v>3.132</v>
      </c>
      <c r="J41" s="63">
        <f t="shared" si="2"/>
        <v>1.2561497326203295</v>
      </c>
      <c r="K41" s="28">
        <v>2.493333333333317</v>
      </c>
      <c r="L41" s="28">
        <v>122.90666666666671</v>
      </c>
      <c r="M41" s="28">
        <v>64.8933333333333</v>
      </c>
      <c r="N41" s="28">
        <v>3048.3</v>
      </c>
      <c r="O41" s="28">
        <v>44373.3</v>
      </c>
      <c r="P41" s="28">
        <v>73.80000000000291</v>
      </c>
      <c r="Q41" s="28">
        <v>73.80000000000291</v>
      </c>
      <c r="R41" s="28" t="s">
        <v>56</v>
      </c>
    </row>
    <row r="42" spans="1:17" s="28" customFormat="1" ht="15">
      <c r="A42" s="26">
        <v>40324</v>
      </c>
      <c r="B42" s="27">
        <v>0.333333333333333</v>
      </c>
      <c r="C42" s="28">
        <v>537</v>
      </c>
      <c r="D42" s="28">
        <v>28</v>
      </c>
      <c r="E42" s="61">
        <v>5.733333333333349</v>
      </c>
      <c r="F42" s="28">
        <v>39207.9</v>
      </c>
      <c r="G42" s="61">
        <v>190</v>
      </c>
      <c r="H42" s="63">
        <f t="shared" si="0"/>
        <v>32832000</v>
      </c>
      <c r="I42" s="63">
        <f t="shared" si="1"/>
        <v>9.12</v>
      </c>
      <c r="J42" s="63">
        <f t="shared" si="2"/>
        <v>1.446088794926</v>
      </c>
      <c r="K42" s="28">
        <v>6.306666666666683</v>
      </c>
      <c r="L42" s="28">
        <v>129.2133333333334</v>
      </c>
      <c r="M42" s="28">
        <v>58.58666666666661</v>
      </c>
      <c r="N42" s="28">
        <v>3298.1</v>
      </c>
      <c r="O42" s="28">
        <v>44623.1</v>
      </c>
      <c r="P42" s="28">
        <v>249.79999999999558</v>
      </c>
      <c r="Q42" s="28">
        <v>249.79999999999558</v>
      </c>
    </row>
    <row r="43" spans="1:17" s="28" customFormat="1" ht="15">
      <c r="A43" s="26">
        <v>40325</v>
      </c>
      <c r="B43" s="27">
        <v>0.34375</v>
      </c>
      <c r="C43" s="28">
        <v>539</v>
      </c>
      <c r="D43" s="28">
        <v>53</v>
      </c>
      <c r="E43" s="61">
        <v>2.4166666666666283</v>
      </c>
      <c r="F43" s="28">
        <v>39347.9</v>
      </c>
      <c r="G43" s="61">
        <v>140</v>
      </c>
      <c r="H43" s="63">
        <f t="shared" si="0"/>
        <v>24192000</v>
      </c>
      <c r="I43" s="63">
        <f t="shared" si="1"/>
        <v>6.72</v>
      </c>
      <c r="J43" s="63">
        <f t="shared" si="2"/>
        <v>2.5278996865204157</v>
      </c>
      <c r="K43" s="28">
        <v>2.658333333333292</v>
      </c>
      <c r="L43" s="28">
        <v>131.8716666666667</v>
      </c>
      <c r="M43" s="28">
        <v>55.92833333333335</v>
      </c>
      <c r="N43" s="28">
        <v>3416</v>
      </c>
      <c r="O43" s="28">
        <v>44741</v>
      </c>
      <c r="P43" s="28">
        <v>117.9000000000015</v>
      </c>
      <c r="Q43" s="28">
        <v>117.9000000000015</v>
      </c>
    </row>
    <row r="44" spans="1:17" s="28" customFormat="1" ht="15">
      <c r="A44" s="26">
        <v>40326</v>
      </c>
      <c r="B44" s="27">
        <v>0.333333333333333</v>
      </c>
      <c r="C44" s="28">
        <v>545</v>
      </c>
      <c r="D44" s="28">
        <v>50</v>
      </c>
      <c r="E44" s="61">
        <v>5.9500000000000455</v>
      </c>
      <c r="F44" s="28">
        <v>39563.7</v>
      </c>
      <c r="G44" s="61">
        <v>215.79999999999558</v>
      </c>
      <c r="H44" s="63">
        <f t="shared" si="0"/>
        <v>37290239.99999923</v>
      </c>
      <c r="I44" s="63">
        <f t="shared" si="1"/>
        <v>10.358399999999786</v>
      </c>
      <c r="J44" s="63">
        <f t="shared" si="2"/>
        <v>1.5826432391137826</v>
      </c>
      <c r="K44" s="28">
        <v>6.5450000000000506</v>
      </c>
      <c r="L44" s="28">
        <v>138.41666666666669</v>
      </c>
      <c r="M44" s="28">
        <v>49.38333333333329</v>
      </c>
      <c r="N44" s="28">
        <v>3657.7</v>
      </c>
      <c r="O44" s="28">
        <v>44982.7</v>
      </c>
      <c r="P44" s="28">
        <v>241.6999999999971</v>
      </c>
      <c r="Q44" s="28">
        <v>241.6999999999971</v>
      </c>
    </row>
    <row r="45" spans="1:17" s="28" customFormat="1" ht="15">
      <c r="A45" s="26">
        <v>40327</v>
      </c>
      <c r="B45" s="27">
        <v>0.333333333333333</v>
      </c>
      <c r="C45" s="28">
        <v>550</v>
      </c>
      <c r="D45" s="28">
        <v>34</v>
      </c>
      <c r="E45" s="61">
        <v>4.733333333333349</v>
      </c>
      <c r="F45" s="28">
        <v>39628.7</v>
      </c>
      <c r="G45" s="61">
        <v>65</v>
      </c>
      <c r="H45" s="63">
        <f t="shared" si="0"/>
        <v>11232000</v>
      </c>
      <c r="I45" s="63">
        <f t="shared" si="1"/>
        <v>3.12</v>
      </c>
      <c r="J45" s="63">
        <f t="shared" si="2"/>
        <v>0.5992317541613296</v>
      </c>
      <c r="K45" s="28">
        <v>5.206666666666685</v>
      </c>
      <c r="L45" s="28">
        <v>143.62333333333342</v>
      </c>
      <c r="M45" s="28">
        <v>44.17666666666659</v>
      </c>
      <c r="N45" s="28">
        <v>3746.3</v>
      </c>
      <c r="O45" s="28">
        <v>45071.3</v>
      </c>
      <c r="P45" s="28">
        <v>88.6000000000058</v>
      </c>
      <c r="Q45" s="28">
        <v>88.6000000000058</v>
      </c>
    </row>
    <row r="46" spans="1:17" s="28" customFormat="1" ht="15">
      <c r="A46" s="26">
        <v>40328</v>
      </c>
      <c r="B46" s="27">
        <v>0.479166666666667</v>
      </c>
      <c r="C46" s="28">
        <v>553</v>
      </c>
      <c r="D46" s="28">
        <v>6</v>
      </c>
      <c r="E46" s="61">
        <v>2.533333333333303</v>
      </c>
      <c r="F46" s="28">
        <v>39799.4</v>
      </c>
      <c r="G46" s="61">
        <v>170.7000000000044</v>
      </c>
      <c r="H46" s="63">
        <f t="shared" si="0"/>
        <v>29496960.00000076</v>
      </c>
      <c r="I46" s="63">
        <f t="shared" si="1"/>
        <v>8.193600000000211</v>
      </c>
      <c r="J46" s="63">
        <f t="shared" si="2"/>
        <v>2.9402870813398234</v>
      </c>
      <c r="K46" s="28">
        <v>2.786666666666634</v>
      </c>
      <c r="L46" s="28">
        <v>146.41</v>
      </c>
      <c r="M46" s="28">
        <v>41.38999999999997</v>
      </c>
      <c r="N46" s="28">
        <v>3868.5</v>
      </c>
      <c r="O46" s="28">
        <v>45193.5</v>
      </c>
      <c r="P46" s="28">
        <v>122.19999999999712</v>
      </c>
      <c r="Q46" s="28">
        <v>122.19999999999712</v>
      </c>
    </row>
    <row r="47" spans="1:22" ht="15">
      <c r="A47" s="44"/>
      <c r="B47" s="19"/>
      <c r="C47" s="16"/>
      <c r="D47" s="16" t="s">
        <v>4</v>
      </c>
      <c r="E47" s="16">
        <v>133.1</v>
      </c>
      <c r="F47" s="16"/>
      <c r="G47" s="31">
        <v>4114.400000000001</v>
      </c>
      <c r="H47" s="63">
        <f t="shared" si="0"/>
        <v>710968320</v>
      </c>
      <c r="I47" s="64">
        <f t="shared" si="1"/>
        <v>197.4912</v>
      </c>
      <c r="J47" s="63">
        <f t="shared" si="2"/>
        <v>1.3488914691619425</v>
      </c>
      <c r="K47" s="16"/>
      <c r="L47" s="16"/>
      <c r="M47" s="31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5">
      <c r="A48" s="45"/>
      <c r="B48" s="19"/>
      <c r="C48" s="16"/>
      <c r="D48" s="16" t="s">
        <v>5</v>
      </c>
      <c r="E48" s="16">
        <v>146.41</v>
      </c>
      <c r="F48" s="16"/>
      <c r="G48" s="31"/>
      <c r="H48" s="64"/>
      <c r="I48" s="64"/>
      <c r="J48" s="64">
        <f>SUM(J12:J26,J27,J29,J30:J47)</f>
        <v>54.354044084786004</v>
      </c>
      <c r="K48" s="16"/>
      <c r="L48" s="16"/>
      <c r="M48" s="31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5">
      <c r="A49" s="45"/>
      <c r="B49" s="19"/>
      <c r="C49" s="16"/>
      <c r="D49" s="74" t="s">
        <v>6</v>
      </c>
      <c r="E49" s="74"/>
      <c r="F49" s="16">
        <f>66.528/1.559</f>
        <v>42.67350865939706</v>
      </c>
      <c r="G49" s="31"/>
      <c r="H49" s="64"/>
      <c r="I49" s="64"/>
      <c r="J49" s="64"/>
      <c r="K49" s="16"/>
      <c r="L49" s="16"/>
      <c r="M49" s="31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5">
      <c r="A50" s="45"/>
      <c r="B50" s="19"/>
      <c r="C50" s="16"/>
      <c r="D50" s="74" t="s">
        <v>7</v>
      </c>
      <c r="E50" s="74"/>
      <c r="F50" s="16">
        <f>E48-F49</f>
        <v>103.73649134060294</v>
      </c>
      <c r="G50" s="31"/>
      <c r="H50" s="64"/>
      <c r="I50" s="64"/>
      <c r="J50" s="64"/>
      <c r="K50" s="16"/>
      <c r="L50" s="16"/>
      <c r="M50" s="31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5">
      <c r="A51" s="45"/>
      <c r="B51" s="19"/>
      <c r="C51" s="16"/>
      <c r="D51" s="16"/>
      <c r="E51" s="16"/>
      <c r="F51" s="16"/>
      <c r="G51" s="31"/>
      <c r="H51" s="64"/>
      <c r="I51" s="64"/>
      <c r="J51" s="64"/>
      <c r="K51" s="16"/>
      <c r="L51" s="16"/>
      <c r="M51" s="31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5">
      <c r="A52" s="45"/>
      <c r="B52" s="19"/>
      <c r="C52" s="16"/>
      <c r="D52" s="16"/>
      <c r="E52" s="16"/>
      <c r="F52" s="16"/>
      <c r="G52" s="31"/>
      <c r="H52" s="64"/>
      <c r="I52" s="64"/>
      <c r="J52" s="64"/>
      <c r="K52" s="16"/>
      <c r="L52" s="16"/>
      <c r="M52" s="31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5">
      <c r="A53" s="45"/>
      <c r="B53" s="19"/>
      <c r="C53" s="16"/>
      <c r="D53" s="16"/>
      <c r="E53" s="16"/>
      <c r="F53" s="16"/>
      <c r="G53" s="31"/>
      <c r="H53" s="64"/>
      <c r="I53" s="64"/>
      <c r="J53" s="64"/>
      <c r="K53" s="16"/>
      <c r="L53" s="16"/>
      <c r="M53" s="31"/>
      <c r="N53" s="16"/>
      <c r="O53" s="16"/>
      <c r="P53" s="16"/>
      <c r="Q53" s="16"/>
      <c r="R53" s="16"/>
      <c r="S53" s="16"/>
      <c r="T53" s="16"/>
      <c r="U53" s="16"/>
      <c r="V53" s="16"/>
    </row>
    <row r="54" spans="1:18" ht="15">
      <c r="A54" s="15"/>
      <c r="B54" s="21"/>
      <c r="C54" s="16"/>
      <c r="D54" s="16"/>
      <c r="E54" s="16"/>
      <c r="F54" s="16"/>
      <c r="G54" s="16"/>
      <c r="H54" s="64"/>
      <c r="I54" s="64"/>
      <c r="J54" s="64"/>
      <c r="K54" s="16"/>
      <c r="L54" s="16"/>
      <c r="M54" s="16"/>
      <c r="N54" s="16"/>
      <c r="O54" s="16"/>
      <c r="P54" s="16"/>
      <c r="Q54" s="16"/>
      <c r="R54" s="16"/>
    </row>
    <row r="55" spans="1:18" ht="15">
      <c r="A55" s="15"/>
      <c r="B55" s="21"/>
      <c r="C55" s="16"/>
      <c r="D55" s="16"/>
      <c r="E55" s="16"/>
      <c r="F55" s="16"/>
      <c r="G55" s="16"/>
      <c r="H55" s="64"/>
      <c r="I55" s="64"/>
      <c r="J55" s="64"/>
      <c r="K55" s="16"/>
      <c r="L55" s="16"/>
      <c r="M55" s="16"/>
      <c r="N55" s="16"/>
      <c r="O55" s="16"/>
      <c r="P55" s="16"/>
      <c r="Q55" s="16"/>
      <c r="R55" s="16"/>
    </row>
    <row r="56" spans="1:18" ht="15">
      <c r="A56" s="15"/>
      <c r="B56" s="21"/>
      <c r="C56" s="16"/>
      <c r="D56" s="16"/>
      <c r="E56" s="16"/>
      <c r="F56" s="16"/>
      <c r="G56" s="16"/>
      <c r="H56" s="64"/>
      <c r="I56" s="64"/>
      <c r="J56" s="64"/>
      <c r="K56" s="16"/>
      <c r="L56" s="16"/>
      <c r="M56" s="16"/>
      <c r="N56" s="16"/>
      <c r="O56" s="16"/>
      <c r="P56" s="16"/>
      <c r="Q56" s="16"/>
      <c r="R56" s="16"/>
    </row>
    <row r="57" spans="1:18" ht="15">
      <c r="A57" s="15"/>
      <c r="B57" s="21"/>
      <c r="C57" s="16"/>
      <c r="D57" s="16"/>
      <c r="E57" s="16"/>
      <c r="F57" s="16"/>
      <c r="G57" s="16"/>
      <c r="H57" s="64"/>
      <c r="I57" s="64"/>
      <c r="J57" s="64"/>
      <c r="K57" s="16"/>
      <c r="L57" s="16"/>
      <c r="M57" s="16"/>
      <c r="N57" s="16"/>
      <c r="O57" s="16"/>
      <c r="P57" s="16"/>
      <c r="Q57" s="16"/>
      <c r="R57" s="16"/>
    </row>
    <row r="58" spans="1:18" ht="15">
      <c r="A58" s="15"/>
      <c r="B58" s="21"/>
      <c r="C58" s="16"/>
      <c r="D58" s="16"/>
      <c r="E58" s="16"/>
      <c r="F58" s="16"/>
      <c r="G58" s="16"/>
      <c r="H58" s="64"/>
      <c r="I58" s="64"/>
      <c r="J58" s="64"/>
      <c r="K58" s="16"/>
      <c r="L58" s="16"/>
      <c r="M58" s="16"/>
      <c r="N58" s="16"/>
      <c r="O58" s="16"/>
      <c r="P58" s="16"/>
      <c r="Q58" s="16"/>
      <c r="R58" s="16"/>
    </row>
    <row r="59" spans="1:18" ht="15">
      <c r="A59" s="15"/>
      <c r="B59" s="21"/>
      <c r="C59" s="16"/>
      <c r="D59" s="16"/>
      <c r="E59" s="16"/>
      <c r="F59" s="16"/>
      <c r="G59" s="16"/>
      <c r="H59" s="64"/>
      <c r="I59" s="64"/>
      <c r="J59" s="64"/>
      <c r="K59" s="16"/>
      <c r="L59" s="16"/>
      <c r="M59" s="16"/>
      <c r="N59" s="16"/>
      <c r="O59" s="16"/>
      <c r="P59" s="16"/>
      <c r="Q59" s="16"/>
      <c r="R59" s="16"/>
    </row>
    <row r="60" spans="1:18" ht="15">
      <c r="A60" s="15"/>
      <c r="B60" s="21"/>
      <c r="C60" s="16"/>
      <c r="D60" s="16"/>
      <c r="E60" s="16"/>
      <c r="F60" s="16"/>
      <c r="G60" s="16"/>
      <c r="H60" s="64"/>
      <c r="I60" s="64"/>
      <c r="J60" s="64"/>
      <c r="K60" s="16"/>
      <c r="L60" s="16"/>
      <c r="M60" s="16"/>
      <c r="N60" s="16"/>
      <c r="O60" s="16"/>
      <c r="P60" s="16"/>
      <c r="Q60" s="16"/>
      <c r="R60" s="16"/>
    </row>
    <row r="61" spans="1:18" ht="15">
      <c r="A61" s="15"/>
      <c r="B61" s="21"/>
      <c r="C61" s="16"/>
      <c r="D61" s="16"/>
      <c r="E61" s="16"/>
      <c r="F61" s="16"/>
      <c r="G61" s="16"/>
      <c r="H61" s="64"/>
      <c r="I61" s="64"/>
      <c r="J61" s="64"/>
      <c r="K61" s="16"/>
      <c r="L61" s="16"/>
      <c r="M61" s="16"/>
      <c r="N61" s="16"/>
      <c r="O61" s="16"/>
      <c r="P61" s="16"/>
      <c r="Q61" s="16"/>
      <c r="R61" s="16"/>
    </row>
    <row r="62" spans="1:18" ht="15">
      <c r="A62" s="15"/>
      <c r="B62" s="21"/>
      <c r="C62" s="16"/>
      <c r="D62" s="16"/>
      <c r="E62" s="16"/>
      <c r="F62" s="16"/>
      <c r="G62" s="16"/>
      <c r="H62" s="64"/>
      <c r="I62" s="64"/>
      <c r="J62" s="64"/>
      <c r="K62" s="16"/>
      <c r="L62" s="16"/>
      <c r="M62" s="16"/>
      <c r="N62" s="16"/>
      <c r="O62" s="16"/>
      <c r="P62" s="16"/>
      <c r="Q62" s="16"/>
      <c r="R62" s="16"/>
    </row>
    <row r="63" spans="1:18" ht="15">
      <c r="A63" s="15"/>
      <c r="B63" s="21"/>
      <c r="C63" s="16"/>
      <c r="D63" s="16"/>
      <c r="E63" s="16"/>
      <c r="F63" s="16"/>
      <c r="G63" s="16"/>
      <c r="H63" s="64"/>
      <c r="I63" s="64"/>
      <c r="J63" s="64"/>
      <c r="K63" s="16"/>
      <c r="L63" s="16"/>
      <c r="M63" s="16"/>
      <c r="N63" s="16"/>
      <c r="O63" s="16"/>
      <c r="P63" s="16"/>
      <c r="Q63" s="16"/>
      <c r="R63" s="16"/>
    </row>
    <row r="64" spans="1:18" ht="15">
      <c r="A64" s="15"/>
      <c r="B64" s="21"/>
      <c r="C64" s="16"/>
      <c r="D64" s="16"/>
      <c r="E64" s="16"/>
      <c r="F64" s="16"/>
      <c r="G64" s="16"/>
      <c r="H64" s="64"/>
      <c r="I64" s="64"/>
      <c r="J64" s="64"/>
      <c r="K64" s="16"/>
      <c r="L64" s="16"/>
      <c r="M64" s="16"/>
      <c r="N64" s="16"/>
      <c r="O64" s="16"/>
      <c r="P64" s="16"/>
      <c r="Q64" s="16"/>
      <c r="R64" s="16"/>
    </row>
    <row r="65" spans="1:18" ht="15">
      <c r="A65" s="15"/>
      <c r="B65" s="21"/>
      <c r="C65" s="16"/>
      <c r="D65" s="16"/>
      <c r="E65" s="16"/>
      <c r="F65" s="16"/>
      <c r="G65" s="16"/>
      <c r="H65" s="64"/>
      <c r="I65" s="64"/>
      <c r="J65" s="64"/>
      <c r="K65" s="16"/>
      <c r="L65" s="16"/>
      <c r="M65" s="16"/>
      <c r="N65" s="16"/>
      <c r="O65" s="16"/>
      <c r="P65" s="16"/>
      <c r="Q65" s="16"/>
      <c r="R65" s="16"/>
    </row>
    <row r="66" spans="1:18" ht="15">
      <c r="A66" s="15"/>
      <c r="B66" s="21"/>
      <c r="C66" s="16"/>
      <c r="D66" s="16"/>
      <c r="E66" s="16"/>
      <c r="F66" s="16"/>
      <c r="G66" s="16"/>
      <c r="H66" s="64"/>
      <c r="I66" s="64"/>
      <c r="J66" s="64"/>
      <c r="K66" s="16"/>
      <c r="L66" s="16"/>
      <c r="M66" s="16"/>
      <c r="N66" s="16"/>
      <c r="O66" s="16"/>
      <c r="P66" s="16"/>
      <c r="Q66" s="16"/>
      <c r="R66" s="16"/>
    </row>
    <row r="67" spans="1:18" ht="15">
      <c r="A67" s="15"/>
      <c r="B67" s="2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5">
      <c r="A68" s="15"/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5">
      <c r="A69" s="15"/>
      <c r="B69" s="21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5">
      <c r="A70" s="15"/>
      <c r="B70" s="21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5">
      <c r="A71" s="15"/>
      <c r="B71" s="21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5">
      <c r="A72" s="15"/>
      <c r="B72" s="21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5">
      <c r="A73" s="15"/>
      <c r="B73" s="21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5">
      <c r="A74" s="15"/>
      <c r="B74" s="21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5">
      <c r="A75" s="15"/>
      <c r="B75" s="21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5">
      <c r="A76" s="15"/>
      <c r="B76" s="21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5">
      <c r="A77" s="15"/>
      <c r="B77" s="21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5">
      <c r="A78" s="15"/>
      <c r="B78" s="21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5">
      <c r="A79" s="15"/>
      <c r="B79" s="21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5">
      <c r="A80" s="15"/>
      <c r="B80" s="21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5">
      <c r="A81" s="15"/>
      <c r="B81" s="21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5">
      <c r="A82" s="15"/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5">
      <c r="A83" s="15"/>
      <c r="B83" s="2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5">
      <c r="A84" s="15"/>
      <c r="B84" s="21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5">
      <c r="A85" s="15"/>
      <c r="B85" s="21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5">
      <c r="A86" s="15"/>
      <c r="B86" s="21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</sheetData>
  <mergeCells count="6">
    <mergeCell ref="A3:C3"/>
    <mergeCell ref="T6:U6"/>
    <mergeCell ref="F8:G8"/>
    <mergeCell ref="C9:D9"/>
    <mergeCell ref="D49:E49"/>
    <mergeCell ref="D50:E50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58" sqref="G58"/>
    </sheetView>
  </sheetViews>
  <sheetFormatPr defaultColWidth="11.421875" defaultRowHeight="15"/>
  <cols>
    <col min="5" max="5" width="18.8515625" style="0" customWidth="1"/>
    <col min="6" max="6" width="15.7109375" style="0" customWidth="1"/>
  </cols>
  <sheetData>
    <row r="1" spans="1:21" ht="15">
      <c r="A1" s="15" t="s">
        <v>8</v>
      </c>
      <c r="B1" s="16"/>
      <c r="C1" s="16"/>
      <c r="D1" s="16"/>
      <c r="E1" s="16"/>
      <c r="F1" s="16"/>
      <c r="G1" s="16"/>
      <c r="H1" s="16" t="s">
        <v>58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">
      <c r="A2" s="15"/>
      <c r="B2" s="16"/>
      <c r="C2" s="16"/>
      <c r="D2" s="16"/>
      <c r="E2" s="16"/>
      <c r="F2" s="16"/>
      <c r="G2" s="16"/>
      <c r="H2" s="16" t="s">
        <v>60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5">
      <c r="A3" s="15"/>
      <c r="B3" s="16"/>
      <c r="C3" s="16"/>
      <c r="D3" s="16" t="s">
        <v>61</v>
      </c>
      <c r="E3" s="16" t="s">
        <v>62</v>
      </c>
      <c r="F3" s="16" t="s">
        <v>63</v>
      </c>
      <c r="G3" s="16"/>
      <c r="H3" s="16" t="s">
        <v>69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5">
      <c r="A4" s="15"/>
      <c r="B4" s="16"/>
      <c r="C4" s="16"/>
      <c r="D4" s="16"/>
      <c r="E4" s="16">
        <v>3.78</v>
      </c>
      <c r="F4" s="16">
        <v>3.9187499999999997</v>
      </c>
      <c r="G4" s="16"/>
      <c r="H4" s="16" t="s">
        <v>70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5">
      <c r="A5" s="15"/>
      <c r="B5" s="16"/>
      <c r="C5" s="16"/>
      <c r="D5" s="16" t="s">
        <v>9</v>
      </c>
      <c r="E5" s="16">
        <v>0</v>
      </c>
      <c r="F5" s="16" t="s">
        <v>55</v>
      </c>
      <c r="G5" s="16"/>
      <c r="H5" s="16" t="s">
        <v>108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5">
      <c r="A7" s="15" t="s">
        <v>147</v>
      </c>
      <c r="B7" s="16" t="s">
        <v>148</v>
      </c>
      <c r="C7" s="16" t="s">
        <v>148</v>
      </c>
      <c r="D7" s="16" t="s">
        <v>149</v>
      </c>
      <c r="E7" s="16" t="s">
        <v>150</v>
      </c>
      <c r="F7" s="16" t="s">
        <v>151</v>
      </c>
      <c r="G7" s="16" t="s">
        <v>152</v>
      </c>
      <c r="H7" s="16" t="s">
        <v>152</v>
      </c>
      <c r="I7" s="16" t="s">
        <v>153</v>
      </c>
      <c r="J7" s="16" t="s">
        <v>154</v>
      </c>
      <c r="K7" s="16" t="s">
        <v>154</v>
      </c>
      <c r="L7" s="16" t="s">
        <v>155</v>
      </c>
      <c r="M7" s="16" t="s">
        <v>156</v>
      </c>
      <c r="N7" s="16" t="s">
        <v>156</v>
      </c>
      <c r="O7" s="16" t="s">
        <v>157</v>
      </c>
      <c r="P7" s="16"/>
      <c r="Q7" s="16"/>
      <c r="R7" s="16"/>
      <c r="S7" s="16"/>
      <c r="T7" s="16"/>
      <c r="U7" s="16"/>
    </row>
    <row r="8" spans="1:21" ht="15">
      <c r="A8" s="15"/>
      <c r="B8" s="16" t="s">
        <v>158</v>
      </c>
      <c r="C8" s="16" t="s">
        <v>23</v>
      </c>
      <c r="D8" s="16" t="s">
        <v>24</v>
      </c>
      <c r="E8" s="16" t="s">
        <v>25</v>
      </c>
      <c r="F8" s="16" t="s">
        <v>26</v>
      </c>
      <c r="G8" s="16" t="s">
        <v>25</v>
      </c>
      <c r="H8" s="16" t="s">
        <v>26</v>
      </c>
      <c r="I8" s="16" t="s">
        <v>27</v>
      </c>
      <c r="J8" s="16" t="s">
        <v>28</v>
      </c>
      <c r="K8" s="16" t="s">
        <v>29</v>
      </c>
      <c r="L8" s="16"/>
      <c r="M8" s="16" t="s">
        <v>30</v>
      </c>
      <c r="N8" s="16" t="s">
        <v>31</v>
      </c>
      <c r="O8" s="16"/>
      <c r="P8" s="16"/>
      <c r="Q8" s="16"/>
      <c r="R8" s="16"/>
      <c r="S8" s="16"/>
      <c r="T8" s="16"/>
      <c r="U8" s="16"/>
    </row>
    <row r="9" spans="1:21" ht="15">
      <c r="A9" s="15" t="s">
        <v>32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6" s="28" customFormat="1" ht="15">
      <c r="A10" s="54">
        <v>40286</v>
      </c>
      <c r="B10" s="28">
        <v>13</v>
      </c>
      <c r="C10" s="28">
        <v>0</v>
      </c>
      <c r="D10" s="28">
        <v>2</v>
      </c>
      <c r="E10" s="28">
        <v>7.8374999999999995</v>
      </c>
      <c r="F10" s="28">
        <v>2.0734126984126986</v>
      </c>
    </row>
    <row r="11" spans="1:14" s="28" customFormat="1" ht="15">
      <c r="A11" s="54">
        <v>40287</v>
      </c>
      <c r="B11" s="28">
        <v>8</v>
      </c>
      <c r="C11" s="28">
        <v>0</v>
      </c>
      <c r="D11" s="28">
        <v>9</v>
      </c>
      <c r="E11" s="28">
        <v>35.26875</v>
      </c>
      <c r="F11" s="28">
        <v>9.330357142857142</v>
      </c>
      <c r="G11" s="28">
        <v>27.43125</v>
      </c>
      <c r="H11" s="28">
        <v>7.256944444444445</v>
      </c>
      <c r="I11" s="28">
        <v>17</v>
      </c>
      <c r="J11" s="28">
        <v>38.726470588235294</v>
      </c>
      <c r="K11" s="28">
        <v>10.245098039215687</v>
      </c>
      <c r="L11" s="28">
        <v>7</v>
      </c>
      <c r="M11" s="28">
        <v>5.5323529411764705</v>
      </c>
      <c r="N11" s="28">
        <v>1.4635854341736696</v>
      </c>
    </row>
    <row r="12" spans="1:14" s="28" customFormat="1" ht="15">
      <c r="A12" s="54">
        <v>40288</v>
      </c>
      <c r="B12" s="28">
        <v>8</v>
      </c>
      <c r="C12" s="28">
        <v>45</v>
      </c>
      <c r="D12" s="28">
        <v>17</v>
      </c>
      <c r="E12" s="28">
        <v>66.61874999999999</v>
      </c>
      <c r="F12" s="28">
        <v>17.624007936507937</v>
      </c>
      <c r="G12" s="28">
        <v>31.349999999999994</v>
      </c>
      <c r="H12" s="28">
        <v>8.293650793650793</v>
      </c>
      <c r="I12" s="28">
        <v>25</v>
      </c>
      <c r="J12" s="28">
        <v>30.095999999999997</v>
      </c>
      <c r="K12" s="28">
        <v>7.961904761904761</v>
      </c>
      <c r="L12" s="28">
        <v>7</v>
      </c>
      <c r="M12" s="28">
        <v>4.299428571428571</v>
      </c>
      <c r="N12" s="28">
        <v>1.1374149659863946</v>
      </c>
    </row>
    <row r="13" spans="1:15" s="28" customFormat="1" ht="15">
      <c r="A13" s="54">
        <v>40289</v>
      </c>
      <c r="B13" s="28">
        <v>8</v>
      </c>
      <c r="C13" s="28">
        <v>45</v>
      </c>
      <c r="D13" s="28">
        <v>5</v>
      </c>
      <c r="E13" s="28">
        <v>19.59375</v>
      </c>
      <c r="F13" s="28">
        <v>5.183531746031746</v>
      </c>
      <c r="I13" s="28">
        <v>1700</v>
      </c>
      <c r="L13" s="28">
        <v>7</v>
      </c>
      <c r="O13" s="28" t="s">
        <v>71</v>
      </c>
    </row>
    <row r="14" spans="1:15" s="28" customFormat="1" ht="15">
      <c r="A14" s="54">
        <v>40290</v>
      </c>
      <c r="B14" s="28">
        <v>8</v>
      </c>
      <c r="C14" s="28">
        <v>45</v>
      </c>
      <c r="D14" s="28">
        <v>7</v>
      </c>
      <c r="E14" s="28">
        <v>27.43125</v>
      </c>
      <c r="F14" s="28">
        <v>7.256944444444445</v>
      </c>
      <c r="G14" s="28">
        <v>7.837499999999999</v>
      </c>
      <c r="H14" s="28">
        <v>2.073412698412698</v>
      </c>
      <c r="I14" s="28">
        <v>24</v>
      </c>
      <c r="J14" s="28">
        <v>7.837499999999999</v>
      </c>
      <c r="K14" s="28">
        <v>2.073412698412698</v>
      </c>
      <c r="L14" s="28">
        <v>7</v>
      </c>
      <c r="M14" s="28">
        <v>1.119642857142857</v>
      </c>
      <c r="N14" s="28">
        <v>0.2962018140589569</v>
      </c>
      <c r="O14" s="28" t="s">
        <v>72</v>
      </c>
    </row>
    <row r="15" spans="1:15" s="28" customFormat="1" ht="15">
      <c r="A15" s="54">
        <v>40291</v>
      </c>
      <c r="B15" s="28">
        <v>8</v>
      </c>
      <c r="C15" s="28">
        <v>0</v>
      </c>
      <c r="D15" s="28">
        <v>10</v>
      </c>
      <c r="E15" s="28">
        <v>39.1875</v>
      </c>
      <c r="F15" s="28">
        <v>10.367063492063492</v>
      </c>
      <c r="G15" s="28">
        <v>11.756250000000001</v>
      </c>
      <c r="H15" s="28">
        <v>3.1101190476190483</v>
      </c>
      <c r="I15" s="28">
        <v>23.25</v>
      </c>
      <c r="J15" s="28">
        <v>12.135483870967743</v>
      </c>
      <c r="K15" s="28">
        <v>3.210445468509985</v>
      </c>
      <c r="L15" s="28">
        <v>6</v>
      </c>
      <c r="M15" s="28">
        <v>2.0225806451612907</v>
      </c>
      <c r="N15" s="28">
        <v>0.5350742447516642</v>
      </c>
      <c r="O15" s="28" t="s">
        <v>73</v>
      </c>
    </row>
    <row r="16" spans="1:14" s="28" customFormat="1" ht="15">
      <c r="A16" s="54">
        <v>40292</v>
      </c>
      <c r="B16" s="28">
        <v>8</v>
      </c>
      <c r="C16" s="28">
        <v>17</v>
      </c>
      <c r="D16" s="28">
        <v>26</v>
      </c>
      <c r="E16" s="28">
        <v>101.88749999999999</v>
      </c>
      <c r="F16" s="28">
        <v>26.95436507936508</v>
      </c>
      <c r="G16" s="28">
        <v>62.69999999999999</v>
      </c>
      <c r="H16" s="28">
        <v>16.587301587301585</v>
      </c>
      <c r="I16" s="28">
        <v>24</v>
      </c>
      <c r="J16" s="28">
        <v>62.69999999999999</v>
      </c>
      <c r="K16" s="28">
        <v>16.587301587301585</v>
      </c>
      <c r="L16" s="28">
        <v>7</v>
      </c>
      <c r="M16" s="28">
        <v>8.957142857142856</v>
      </c>
      <c r="N16" s="28">
        <v>2.369614512471655</v>
      </c>
    </row>
    <row r="17" spans="1:15" s="28" customFormat="1" ht="15">
      <c r="A17" s="54">
        <v>40292</v>
      </c>
      <c r="B17" s="28">
        <v>14</v>
      </c>
      <c r="C17" s="28">
        <v>0</v>
      </c>
      <c r="D17" s="28">
        <v>0</v>
      </c>
      <c r="E17" s="28">
        <v>0</v>
      </c>
      <c r="F17" s="28">
        <v>0</v>
      </c>
      <c r="I17" s="28">
        <v>6</v>
      </c>
      <c r="L17" s="28">
        <v>7</v>
      </c>
      <c r="O17" s="28" t="s">
        <v>74</v>
      </c>
    </row>
    <row r="18" spans="1:15" s="28" customFormat="1" ht="15">
      <c r="A18" s="54">
        <v>40293</v>
      </c>
      <c r="B18" s="28">
        <v>8</v>
      </c>
      <c r="C18" s="28">
        <v>8</v>
      </c>
      <c r="D18" s="28">
        <v>5</v>
      </c>
      <c r="E18" s="28">
        <v>19.59375</v>
      </c>
      <c r="F18" s="28">
        <v>5.183531746031746</v>
      </c>
      <c r="G18" s="28">
        <v>19.59375</v>
      </c>
      <c r="H18" s="28">
        <v>5.183531746031746</v>
      </c>
      <c r="I18" s="28">
        <v>18</v>
      </c>
      <c r="J18" s="28">
        <v>26.125</v>
      </c>
      <c r="K18" s="28">
        <v>6.911375661375661</v>
      </c>
      <c r="L18" s="28">
        <v>7</v>
      </c>
      <c r="M18" s="28">
        <v>3.732142857142857</v>
      </c>
      <c r="N18" s="28">
        <v>0.9873393801965231</v>
      </c>
      <c r="O18" s="28" t="s">
        <v>72</v>
      </c>
    </row>
    <row r="19" spans="1:21" s="18" customFormat="1" ht="15">
      <c r="A19" s="15">
        <v>40297</v>
      </c>
      <c r="B19" s="16">
        <v>15</v>
      </c>
      <c r="C19" s="16">
        <v>0</v>
      </c>
      <c r="D19" s="16">
        <v>0</v>
      </c>
      <c r="E19" s="16">
        <v>0</v>
      </c>
      <c r="F19" s="16">
        <v>0</v>
      </c>
      <c r="G19" s="16"/>
      <c r="H19" s="16"/>
      <c r="I19" s="16">
        <v>24</v>
      </c>
      <c r="J19" s="16"/>
      <c r="K19" s="16"/>
      <c r="L19" s="16">
        <v>6</v>
      </c>
      <c r="M19" s="16"/>
      <c r="N19" s="16"/>
      <c r="O19" s="16" t="s">
        <v>75</v>
      </c>
      <c r="P19" s="16"/>
      <c r="Q19" s="16"/>
      <c r="R19" s="16"/>
      <c r="S19" s="16"/>
      <c r="T19" s="16"/>
      <c r="U19" s="16"/>
    </row>
    <row r="20" spans="1:21" s="18" customFormat="1" ht="15">
      <c r="A20" s="15">
        <v>40298</v>
      </c>
      <c r="B20" s="16">
        <v>8</v>
      </c>
      <c r="C20" s="16">
        <v>23</v>
      </c>
      <c r="D20" s="16">
        <v>4</v>
      </c>
      <c r="E20" s="16">
        <v>15.674999999999999</v>
      </c>
      <c r="F20" s="16">
        <v>4.146825396825397</v>
      </c>
      <c r="G20" s="16">
        <v>15.674999999999999</v>
      </c>
      <c r="H20" s="16">
        <v>4.146825396825397</v>
      </c>
      <c r="I20" s="16">
        <v>24</v>
      </c>
      <c r="J20" s="16">
        <v>15.674999999999999</v>
      </c>
      <c r="K20" s="16">
        <v>4.146825396825397</v>
      </c>
      <c r="L20" s="16">
        <v>6</v>
      </c>
      <c r="M20" s="16">
        <v>2.6125</v>
      </c>
      <c r="N20" s="16">
        <v>0.6911375661375662</v>
      </c>
      <c r="O20" s="16"/>
      <c r="P20" s="16"/>
      <c r="Q20" s="16"/>
      <c r="R20" s="16"/>
      <c r="S20" s="16"/>
      <c r="T20" s="16"/>
      <c r="U20" s="16"/>
    </row>
    <row r="21" spans="1:21" ht="15">
      <c r="A21" s="15">
        <v>40299</v>
      </c>
      <c r="B21" s="16">
        <v>8</v>
      </c>
      <c r="C21" s="16">
        <v>34</v>
      </c>
      <c r="D21" s="16">
        <v>6</v>
      </c>
      <c r="E21" s="16">
        <v>23.5125</v>
      </c>
      <c r="F21" s="16">
        <v>6.220238095238096</v>
      </c>
      <c r="G21" s="16">
        <v>7.8375</v>
      </c>
      <c r="H21" s="16">
        <v>2.0734126984126986</v>
      </c>
      <c r="I21" s="16">
        <v>24</v>
      </c>
      <c r="J21" s="16">
        <v>7.8375</v>
      </c>
      <c r="K21" s="16">
        <v>2.0734126984126986</v>
      </c>
      <c r="L21" s="16">
        <v>6</v>
      </c>
      <c r="M21" s="16">
        <v>1.3062500000000001</v>
      </c>
      <c r="N21" s="16">
        <v>0.34556878306878314</v>
      </c>
      <c r="O21" s="16"/>
      <c r="P21" s="16"/>
      <c r="Q21" s="16"/>
      <c r="R21" s="16"/>
      <c r="S21" s="16"/>
      <c r="T21" s="16"/>
      <c r="U21" s="16"/>
    </row>
    <row r="22" spans="1:21" ht="15">
      <c r="A22" s="15">
        <v>40300</v>
      </c>
      <c r="B22" s="16">
        <v>8</v>
      </c>
      <c r="C22" s="16">
        <v>0</v>
      </c>
      <c r="D22" s="16">
        <v>10</v>
      </c>
      <c r="E22" s="16">
        <v>39.1875</v>
      </c>
      <c r="F22" s="16">
        <v>10.367063492063492</v>
      </c>
      <c r="G22" s="16">
        <v>15.675</v>
      </c>
      <c r="H22" s="16">
        <v>4.146825396825397</v>
      </c>
      <c r="I22" s="16">
        <v>23.5</v>
      </c>
      <c r="J22" s="16">
        <v>16.008510638297874</v>
      </c>
      <c r="K22" s="16">
        <v>4.235055724417427</v>
      </c>
      <c r="L22" s="16">
        <v>6</v>
      </c>
      <c r="M22" s="16">
        <v>2.668085106382979</v>
      </c>
      <c r="N22" s="16">
        <v>0.7058426207362378</v>
      </c>
      <c r="O22" s="16"/>
      <c r="P22" s="16"/>
      <c r="Q22" s="16"/>
      <c r="R22" s="16"/>
      <c r="S22" s="16"/>
      <c r="T22" s="16"/>
      <c r="U22" s="16"/>
    </row>
    <row r="23" spans="1:21" ht="15">
      <c r="A23" s="15">
        <v>40301</v>
      </c>
      <c r="B23" s="16">
        <v>8</v>
      </c>
      <c r="C23" s="16">
        <v>14</v>
      </c>
      <c r="D23" s="16">
        <v>18</v>
      </c>
      <c r="E23" s="16">
        <v>70.5375</v>
      </c>
      <c r="F23" s="16">
        <v>18.660714285714285</v>
      </c>
      <c r="G23" s="16">
        <v>31.349999999999994</v>
      </c>
      <c r="H23" s="16">
        <v>8.293650793650793</v>
      </c>
      <c r="I23" s="16">
        <v>24.25</v>
      </c>
      <c r="J23" s="16">
        <v>31.026804123711337</v>
      </c>
      <c r="K23" s="16">
        <v>8.208149239077073</v>
      </c>
      <c r="L23" s="16">
        <v>6</v>
      </c>
      <c r="M23" s="16">
        <v>5.171134020618556</v>
      </c>
      <c r="N23" s="16">
        <v>1.3680248731795122</v>
      </c>
      <c r="O23" s="16"/>
      <c r="P23" s="16"/>
      <c r="Q23" s="16"/>
      <c r="R23" s="16"/>
      <c r="S23" s="16"/>
      <c r="T23" s="16"/>
      <c r="U23" s="16"/>
    </row>
    <row r="24" spans="1:21" s="18" customFormat="1" ht="15" customHeight="1">
      <c r="A24" s="15">
        <v>40302</v>
      </c>
      <c r="B24" s="16">
        <v>8</v>
      </c>
      <c r="C24" s="16">
        <v>0</v>
      </c>
      <c r="D24" s="16">
        <v>26</v>
      </c>
      <c r="E24" s="16">
        <v>101.88749999999999</v>
      </c>
      <c r="F24" s="16">
        <v>26.95436507936508</v>
      </c>
      <c r="G24" s="16">
        <v>31.349999999999994</v>
      </c>
      <c r="H24" s="16">
        <v>8.293650793650793</v>
      </c>
      <c r="I24" s="16">
        <v>23.75</v>
      </c>
      <c r="J24" s="16">
        <v>31.679999999999996</v>
      </c>
      <c r="K24" s="16">
        <v>8.38095238095238</v>
      </c>
      <c r="L24" s="16">
        <v>6</v>
      </c>
      <c r="M24" s="16">
        <v>5.279999999999999</v>
      </c>
      <c r="N24" s="16">
        <v>1.3968253968253967</v>
      </c>
      <c r="O24" s="16"/>
      <c r="P24" s="16"/>
      <c r="Q24" s="16"/>
      <c r="R24" s="16"/>
      <c r="S24" s="16"/>
      <c r="T24" s="16"/>
      <c r="U24" s="16"/>
    </row>
    <row r="25" spans="1:21" s="18" customFormat="1" ht="15">
      <c r="A25" s="15">
        <v>40303</v>
      </c>
      <c r="B25" s="16">
        <v>8</v>
      </c>
      <c r="C25" s="16">
        <v>9</v>
      </c>
      <c r="D25" s="16">
        <v>26</v>
      </c>
      <c r="E25" s="16">
        <v>101.88749999999999</v>
      </c>
      <c r="F25" s="16">
        <v>26.95436507936508</v>
      </c>
      <c r="G25" s="16">
        <v>0</v>
      </c>
      <c r="H25" s="16">
        <v>0</v>
      </c>
      <c r="I25" s="16">
        <v>24</v>
      </c>
      <c r="J25" s="16"/>
      <c r="K25" s="16"/>
      <c r="L25" s="16">
        <v>7</v>
      </c>
      <c r="M25" s="16"/>
      <c r="N25" s="16"/>
      <c r="O25" s="16" t="s">
        <v>46</v>
      </c>
      <c r="P25" s="16"/>
      <c r="Q25" s="16"/>
      <c r="R25" s="16"/>
      <c r="S25" s="16"/>
      <c r="T25" s="16"/>
      <c r="U25" s="16"/>
    </row>
    <row r="26" spans="1:21" ht="15">
      <c r="A26" s="15">
        <v>40303</v>
      </c>
      <c r="B26" s="16">
        <v>10</v>
      </c>
      <c r="C26" s="16">
        <v>0</v>
      </c>
      <c r="D26" s="16">
        <v>0</v>
      </c>
      <c r="E26" s="16">
        <v>0</v>
      </c>
      <c r="F26" s="16">
        <v>0</v>
      </c>
      <c r="G26" s="16"/>
      <c r="H26" s="16"/>
      <c r="I26" s="16">
        <v>2</v>
      </c>
      <c r="J26" s="16"/>
      <c r="K26" s="16"/>
      <c r="L26" s="16">
        <v>7</v>
      </c>
      <c r="M26" s="16"/>
      <c r="N26" s="16"/>
      <c r="O26" s="16"/>
      <c r="P26" s="16"/>
      <c r="Q26" s="16"/>
      <c r="R26" s="16"/>
      <c r="S26" s="16"/>
      <c r="T26" s="16"/>
      <c r="U26" s="16"/>
    </row>
    <row r="27" spans="1:14" s="28" customFormat="1" ht="15">
      <c r="A27" s="54">
        <v>40304</v>
      </c>
      <c r="B27" s="28">
        <v>8</v>
      </c>
      <c r="C27" s="28">
        <v>15</v>
      </c>
      <c r="D27" s="28">
        <v>10</v>
      </c>
      <c r="E27" s="28">
        <v>39.1875</v>
      </c>
      <c r="F27" s="28">
        <v>10.367063492063492</v>
      </c>
      <c r="G27" s="28">
        <v>39.1875</v>
      </c>
      <c r="H27" s="28">
        <v>10.367063492063492</v>
      </c>
      <c r="I27" s="28">
        <v>10.4</v>
      </c>
      <c r="J27" s="28">
        <v>90.43269230769229</v>
      </c>
      <c r="K27" s="28">
        <v>23.92399267399267</v>
      </c>
      <c r="L27" s="28">
        <v>7</v>
      </c>
      <c r="M27" s="28">
        <v>12.918956043956042</v>
      </c>
      <c r="N27" s="28">
        <v>3.4177132391418104</v>
      </c>
    </row>
    <row r="28" spans="1:14" s="28" customFormat="1" ht="15">
      <c r="A28" s="54">
        <v>40305</v>
      </c>
      <c r="B28" s="28">
        <v>8</v>
      </c>
      <c r="C28" s="28">
        <v>0</v>
      </c>
      <c r="D28" s="28">
        <v>18</v>
      </c>
      <c r="E28" s="28">
        <v>70.5375</v>
      </c>
      <c r="F28" s="28">
        <v>18.660714285714285</v>
      </c>
      <c r="G28" s="28">
        <v>31.349999999999994</v>
      </c>
      <c r="H28" s="28">
        <v>8.293650793650793</v>
      </c>
      <c r="I28" s="28">
        <v>23.75</v>
      </c>
      <c r="J28" s="28">
        <v>31.679999999999996</v>
      </c>
      <c r="K28" s="28">
        <v>8.38095238095238</v>
      </c>
      <c r="L28" s="28">
        <v>7</v>
      </c>
      <c r="M28" s="28">
        <v>4.525714285714285</v>
      </c>
      <c r="N28" s="28">
        <v>1.1972789115646256</v>
      </c>
    </row>
    <row r="29" spans="1:15" s="28" customFormat="1" ht="15">
      <c r="A29" s="54">
        <v>40306</v>
      </c>
      <c r="B29" s="28">
        <v>9</v>
      </c>
      <c r="C29" s="28">
        <v>12</v>
      </c>
      <c r="D29" s="28">
        <v>23</v>
      </c>
      <c r="E29" s="28">
        <v>90.13125</v>
      </c>
      <c r="F29" s="28">
        <v>23.84424603174603</v>
      </c>
      <c r="G29" s="28">
        <v>19.59375</v>
      </c>
      <c r="H29" s="28">
        <v>5.183531746031746</v>
      </c>
      <c r="I29" s="28">
        <v>25.2</v>
      </c>
      <c r="J29" s="28">
        <v>18.66071428571429</v>
      </c>
      <c r="K29" s="28">
        <v>4.936696900982616</v>
      </c>
      <c r="L29" s="28">
        <v>6</v>
      </c>
      <c r="M29" s="28">
        <v>3.110119047619048</v>
      </c>
      <c r="N29" s="28">
        <v>0.822782816830436</v>
      </c>
      <c r="O29" s="28" t="s">
        <v>47</v>
      </c>
    </row>
    <row r="30" spans="1:14" s="28" customFormat="1" ht="15">
      <c r="A30" s="54">
        <v>40307</v>
      </c>
      <c r="B30" s="28">
        <v>8</v>
      </c>
      <c r="C30" s="28">
        <v>30</v>
      </c>
      <c r="D30" s="28">
        <v>25</v>
      </c>
      <c r="E30" s="28">
        <v>97.96875</v>
      </c>
      <c r="F30" s="28">
        <v>25.91765873015873</v>
      </c>
      <c r="G30" s="28">
        <v>7.837500000000006</v>
      </c>
      <c r="H30" s="28">
        <v>2.0734126984127</v>
      </c>
      <c r="I30" s="28">
        <v>23.75</v>
      </c>
      <c r="J30" s="28">
        <v>7.920000000000005</v>
      </c>
      <c r="K30" s="28">
        <v>2.0952380952380967</v>
      </c>
      <c r="L30" s="28">
        <v>4</v>
      </c>
      <c r="M30" s="28">
        <v>1.9800000000000013</v>
      </c>
      <c r="N30" s="28">
        <v>0.5238095238095242</v>
      </c>
    </row>
    <row r="31" spans="1:15" s="28" customFormat="1" ht="15">
      <c r="A31" s="54">
        <v>40307</v>
      </c>
      <c r="B31" s="28">
        <v>10</v>
      </c>
      <c r="C31" s="28">
        <v>0</v>
      </c>
      <c r="D31" s="28">
        <v>0</v>
      </c>
      <c r="E31" s="28">
        <v>0</v>
      </c>
      <c r="F31" s="28">
        <v>0</v>
      </c>
      <c r="I31" s="28">
        <v>1.5</v>
      </c>
      <c r="L31" s="28">
        <v>4</v>
      </c>
      <c r="O31" s="28" t="s">
        <v>74</v>
      </c>
    </row>
    <row r="32" spans="1:14" s="28" customFormat="1" ht="15">
      <c r="A32" s="54">
        <v>40308</v>
      </c>
      <c r="B32" s="28">
        <v>8</v>
      </c>
      <c r="C32" s="28">
        <v>11</v>
      </c>
      <c r="D32" s="28">
        <v>5</v>
      </c>
      <c r="E32" s="28">
        <v>19.59375</v>
      </c>
      <c r="F32" s="28">
        <v>5.183531746031746</v>
      </c>
      <c r="G32" s="28">
        <v>19.59375</v>
      </c>
      <c r="H32" s="28">
        <v>5.183531746031746</v>
      </c>
      <c r="I32" s="28">
        <v>22.2</v>
      </c>
      <c r="J32" s="28">
        <v>21.182432432432435</v>
      </c>
      <c r="K32" s="28">
        <v>5.603818103818105</v>
      </c>
      <c r="L32" s="28">
        <v>6</v>
      </c>
      <c r="M32" s="28">
        <v>3.5304054054054057</v>
      </c>
      <c r="N32" s="28">
        <v>0.933969683969684</v>
      </c>
    </row>
    <row r="33" spans="1:14" s="28" customFormat="1" ht="15">
      <c r="A33" s="54">
        <v>40309</v>
      </c>
      <c r="B33" s="28">
        <v>8</v>
      </c>
      <c r="C33" s="28">
        <v>15</v>
      </c>
      <c r="D33" s="28">
        <v>10</v>
      </c>
      <c r="E33" s="28">
        <v>39.1875</v>
      </c>
      <c r="F33" s="28">
        <v>10.367063492063492</v>
      </c>
      <c r="G33" s="28">
        <v>19.59375</v>
      </c>
      <c r="H33" s="28">
        <v>5.183531746031746</v>
      </c>
      <c r="I33" s="28">
        <v>24</v>
      </c>
      <c r="J33" s="28">
        <v>19.59375</v>
      </c>
      <c r="K33" s="28">
        <v>5.183531746031746</v>
      </c>
      <c r="L33" s="28">
        <v>6</v>
      </c>
      <c r="M33" s="28">
        <v>3.265625</v>
      </c>
      <c r="N33" s="28">
        <v>0.8639219576719577</v>
      </c>
    </row>
    <row r="34" spans="1:14" s="28" customFormat="1" ht="15">
      <c r="A34" s="54">
        <v>40310</v>
      </c>
      <c r="B34" s="28">
        <v>8</v>
      </c>
      <c r="C34" s="28">
        <v>45</v>
      </c>
      <c r="D34" s="28">
        <v>20</v>
      </c>
      <c r="E34" s="28">
        <v>78.375</v>
      </c>
      <c r="F34" s="28">
        <v>20.734126984126984</v>
      </c>
      <c r="G34" s="28">
        <v>39.1875</v>
      </c>
      <c r="H34" s="28">
        <v>10.367063492063492</v>
      </c>
      <c r="I34" s="28">
        <v>24.5</v>
      </c>
      <c r="J34" s="28">
        <v>38.38775510204081</v>
      </c>
      <c r="K34" s="28">
        <v>10.155490767735666</v>
      </c>
      <c r="L34" s="28">
        <v>6</v>
      </c>
      <c r="M34" s="28">
        <v>6.397959183673469</v>
      </c>
      <c r="N34" s="28">
        <v>1.692581794622611</v>
      </c>
    </row>
    <row r="35" spans="1:21" s="18" customFormat="1" ht="15">
      <c r="A35" s="15">
        <v>40313</v>
      </c>
      <c r="B35" s="16">
        <v>9</v>
      </c>
      <c r="C35" s="16">
        <v>0</v>
      </c>
      <c r="D35" s="16">
        <v>0</v>
      </c>
      <c r="E35" s="16">
        <v>0</v>
      </c>
      <c r="F35" s="16">
        <v>0</v>
      </c>
      <c r="G35" s="16"/>
      <c r="H35" s="16"/>
      <c r="I35" s="16">
        <v>24.25</v>
      </c>
      <c r="J35" s="16"/>
      <c r="K35" s="16"/>
      <c r="L35" s="16">
        <v>7</v>
      </c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5">
      <c r="A36" s="15">
        <v>40314</v>
      </c>
      <c r="B36" s="16">
        <v>1</v>
      </c>
      <c r="C36" s="16">
        <v>15</v>
      </c>
      <c r="D36" s="16">
        <v>3</v>
      </c>
      <c r="E36" s="16">
        <v>11.75625</v>
      </c>
      <c r="F36" s="16">
        <v>3.110119047619048</v>
      </c>
      <c r="G36" s="16">
        <v>11.75625</v>
      </c>
      <c r="H36" s="16">
        <v>3.110119047619048</v>
      </c>
      <c r="I36" s="16">
        <v>25.25</v>
      </c>
      <c r="J36" s="16">
        <v>11.174257425742574</v>
      </c>
      <c r="K36" s="16">
        <v>2.9561527581329563</v>
      </c>
      <c r="L36" s="16">
        <v>7</v>
      </c>
      <c r="M36" s="16">
        <v>1.5963224893917964</v>
      </c>
      <c r="N36" s="16">
        <v>0.42230753687613665</v>
      </c>
      <c r="O36" s="16"/>
      <c r="P36" s="16"/>
      <c r="Q36" s="16"/>
      <c r="R36" s="16"/>
      <c r="S36" s="16"/>
      <c r="T36" s="16"/>
      <c r="U36" s="16"/>
    </row>
    <row r="37" spans="1:21" ht="15">
      <c r="A37" s="15">
        <v>40315</v>
      </c>
      <c r="B37" s="16">
        <v>8</v>
      </c>
      <c r="C37" s="16">
        <v>15</v>
      </c>
      <c r="D37" s="16">
        <v>8</v>
      </c>
      <c r="E37" s="16">
        <v>31.349999999999998</v>
      </c>
      <c r="F37" s="16">
        <v>8.293650793650794</v>
      </c>
      <c r="G37" s="16">
        <v>19.59375</v>
      </c>
      <c r="H37" s="16">
        <v>5.183531746031746</v>
      </c>
      <c r="I37" s="16">
        <v>19</v>
      </c>
      <c r="J37" s="16">
        <v>24.75</v>
      </c>
      <c r="K37" s="16">
        <v>6.547619047619048</v>
      </c>
      <c r="L37" s="16">
        <v>7</v>
      </c>
      <c r="M37" s="16">
        <v>3.5357142857142856</v>
      </c>
      <c r="N37" s="16">
        <v>0.935374149659864</v>
      </c>
      <c r="O37" s="16"/>
      <c r="P37" s="16"/>
      <c r="Q37" s="16"/>
      <c r="R37" s="16"/>
      <c r="S37" s="16"/>
      <c r="T37" s="16"/>
      <c r="U37" s="16"/>
    </row>
    <row r="38" spans="1:21" s="18" customFormat="1" ht="15">
      <c r="A38" s="15">
        <v>40316</v>
      </c>
      <c r="B38" s="16">
        <v>8</v>
      </c>
      <c r="C38" s="16">
        <v>0</v>
      </c>
      <c r="D38" s="16">
        <v>11</v>
      </c>
      <c r="E38" s="16">
        <v>43.106249999999996</v>
      </c>
      <c r="F38" s="16">
        <v>11.40376984126984</v>
      </c>
      <c r="G38" s="16">
        <v>11.756249999999998</v>
      </c>
      <c r="H38" s="16">
        <v>3.110119047619047</v>
      </c>
      <c r="I38" s="16">
        <v>23.75</v>
      </c>
      <c r="J38" s="16">
        <v>11.879999999999997</v>
      </c>
      <c r="K38" s="16">
        <v>3.1428571428571423</v>
      </c>
      <c r="L38" s="16">
        <v>7</v>
      </c>
      <c r="M38" s="16">
        <v>1.6971428571428568</v>
      </c>
      <c r="N38" s="16">
        <v>0.44897959183673464</v>
      </c>
      <c r="O38" s="16"/>
      <c r="P38" s="16"/>
      <c r="Q38" s="16"/>
      <c r="R38" s="16"/>
      <c r="S38" s="16"/>
      <c r="T38" s="16"/>
      <c r="U38" s="16"/>
    </row>
    <row r="39" spans="1:21" s="18" customFormat="1" ht="15">
      <c r="A39" s="15">
        <v>40317</v>
      </c>
      <c r="B39" s="16">
        <v>8</v>
      </c>
      <c r="C39" s="16">
        <v>0</v>
      </c>
      <c r="D39" s="16">
        <v>15</v>
      </c>
      <c r="E39" s="16">
        <v>58.78124999999999</v>
      </c>
      <c r="F39" s="16">
        <v>15.550595238095237</v>
      </c>
      <c r="G39" s="16">
        <v>15.674999999999997</v>
      </c>
      <c r="H39" s="16">
        <v>4.146825396825396</v>
      </c>
      <c r="I39" s="16">
        <v>24</v>
      </c>
      <c r="J39" s="16">
        <v>15.674999999999997</v>
      </c>
      <c r="K39" s="16">
        <v>4.146825396825396</v>
      </c>
      <c r="L39" s="16">
        <v>7</v>
      </c>
      <c r="M39" s="16">
        <v>2.239285714285714</v>
      </c>
      <c r="N39" s="16">
        <v>0.5924036281179138</v>
      </c>
      <c r="O39" s="16" t="s">
        <v>48</v>
      </c>
      <c r="P39" s="16"/>
      <c r="Q39" s="16"/>
      <c r="R39" s="16"/>
      <c r="S39" s="16"/>
      <c r="T39" s="16"/>
      <c r="U39" s="16"/>
    </row>
    <row r="40" spans="1:21" ht="15">
      <c r="A40" s="15">
        <v>40318</v>
      </c>
      <c r="B40" s="16">
        <v>7</v>
      </c>
      <c r="C40" s="16">
        <v>50</v>
      </c>
      <c r="D40" s="16">
        <v>26</v>
      </c>
      <c r="E40" s="16">
        <v>101.88749999999999</v>
      </c>
      <c r="F40" s="16">
        <v>26.95436507936508</v>
      </c>
      <c r="G40" s="16">
        <v>43.106249999999996</v>
      </c>
      <c r="H40" s="16">
        <v>11.40376984126984</v>
      </c>
      <c r="I40" s="16">
        <v>23.83</v>
      </c>
      <c r="J40" s="16">
        <v>43.41376416281997</v>
      </c>
      <c r="K40" s="16">
        <v>11.485122794396819</v>
      </c>
      <c r="L40" s="16">
        <v>7</v>
      </c>
      <c r="M40" s="16">
        <v>6.201966308974282</v>
      </c>
      <c r="N40" s="16">
        <v>1.6407318277709741</v>
      </c>
      <c r="O40" s="16"/>
      <c r="P40" s="16"/>
      <c r="Q40" s="16"/>
      <c r="R40" s="16"/>
      <c r="S40" s="16"/>
      <c r="T40" s="16"/>
      <c r="U40" s="16"/>
    </row>
    <row r="41" spans="1:21" s="18" customFormat="1" ht="15">
      <c r="A41" s="15">
        <v>40318</v>
      </c>
      <c r="B41" s="16">
        <v>9</v>
      </c>
      <c r="C41" s="16">
        <v>30</v>
      </c>
      <c r="D41" s="16">
        <v>0</v>
      </c>
      <c r="E41" s="16">
        <v>0</v>
      </c>
      <c r="F41" s="16">
        <v>0</v>
      </c>
      <c r="G41" s="16"/>
      <c r="H41" s="16"/>
      <c r="I41" s="16">
        <v>1.67</v>
      </c>
      <c r="J41" s="16"/>
      <c r="K41" s="16"/>
      <c r="L41" s="16">
        <v>7</v>
      </c>
      <c r="M41" s="16"/>
      <c r="N41" s="16"/>
      <c r="O41" s="16" t="s">
        <v>49</v>
      </c>
      <c r="P41" s="16"/>
      <c r="Q41" s="16"/>
      <c r="R41" s="16"/>
      <c r="S41" s="16"/>
      <c r="T41" s="16"/>
      <c r="U41" s="16"/>
    </row>
    <row r="42" spans="1:21" s="18" customFormat="1" ht="15">
      <c r="A42" s="15">
        <v>40319</v>
      </c>
      <c r="B42" s="16">
        <v>8</v>
      </c>
      <c r="C42" s="16">
        <v>0</v>
      </c>
      <c r="D42" s="16">
        <v>8</v>
      </c>
      <c r="E42" s="16">
        <v>31.349999999999998</v>
      </c>
      <c r="F42" s="16">
        <v>8.293650793650794</v>
      </c>
      <c r="G42" s="16">
        <v>31.349999999999998</v>
      </c>
      <c r="H42" s="16">
        <v>8.293650793650794</v>
      </c>
      <c r="I42" s="16">
        <v>22.5</v>
      </c>
      <c r="J42" s="16">
        <v>33.44</v>
      </c>
      <c r="K42" s="16">
        <v>8.846560846560847</v>
      </c>
      <c r="L42" s="16">
        <v>7</v>
      </c>
      <c r="M42" s="16">
        <v>4.777142857142857</v>
      </c>
      <c r="N42" s="16">
        <v>1.2637944066515494</v>
      </c>
      <c r="O42" s="16" t="s">
        <v>50</v>
      </c>
      <c r="P42" s="16"/>
      <c r="Q42" s="16"/>
      <c r="R42" s="16"/>
      <c r="S42" s="16"/>
      <c r="T42" s="16"/>
      <c r="U42" s="16"/>
    </row>
    <row r="43" spans="1:21" ht="15">
      <c r="A43" s="15">
        <v>40320</v>
      </c>
      <c r="B43" s="16">
        <v>8</v>
      </c>
      <c r="C43" s="16">
        <v>15</v>
      </c>
      <c r="D43" s="16">
        <v>20</v>
      </c>
      <c r="E43" s="16">
        <v>78.375</v>
      </c>
      <c r="F43" s="16">
        <v>20.734126984126984</v>
      </c>
      <c r="G43" s="16">
        <v>47.025000000000006</v>
      </c>
      <c r="H43" s="16">
        <v>12.440476190476193</v>
      </c>
      <c r="I43" s="16">
        <v>24</v>
      </c>
      <c r="J43" s="16">
        <v>47.025000000000006</v>
      </c>
      <c r="K43" s="16">
        <v>12.440476190476193</v>
      </c>
      <c r="L43" s="16">
        <v>7</v>
      </c>
      <c r="M43" s="16">
        <v>6.717857142857143</v>
      </c>
      <c r="N43" s="16">
        <v>1.7772108843537417</v>
      </c>
      <c r="O43" s="16"/>
      <c r="P43" s="16"/>
      <c r="Q43" s="16"/>
      <c r="R43" s="16"/>
      <c r="S43" s="16"/>
      <c r="T43" s="16"/>
      <c r="U43" s="16"/>
    </row>
    <row r="44" spans="1:14" s="28" customFormat="1" ht="15">
      <c r="A44" s="54">
        <v>40321</v>
      </c>
      <c r="B44" s="28">
        <v>8</v>
      </c>
      <c r="C44" s="28">
        <v>15</v>
      </c>
      <c r="D44" s="28">
        <v>25</v>
      </c>
      <c r="E44" s="28">
        <v>97.96875</v>
      </c>
      <c r="F44" s="28">
        <v>25.91765873015873</v>
      </c>
      <c r="G44" s="28">
        <v>19.59375</v>
      </c>
      <c r="H44" s="28">
        <v>5.183531746031746</v>
      </c>
      <c r="I44" s="28">
        <v>24</v>
      </c>
      <c r="J44" s="28">
        <v>19.59375</v>
      </c>
      <c r="K44" s="28">
        <v>5.183531746031746</v>
      </c>
      <c r="L44" s="28">
        <v>7</v>
      </c>
      <c r="M44" s="28">
        <v>2.799107142857143</v>
      </c>
      <c r="N44" s="28">
        <v>0.7405045351473923</v>
      </c>
    </row>
    <row r="45" spans="1:15" s="28" customFormat="1" ht="15">
      <c r="A45" s="54">
        <v>40321</v>
      </c>
      <c r="B45" s="28">
        <v>9</v>
      </c>
      <c r="C45" s="28">
        <v>0</v>
      </c>
      <c r="D45" s="28">
        <v>0</v>
      </c>
      <c r="E45" s="28">
        <v>0</v>
      </c>
      <c r="F45" s="28">
        <v>0</v>
      </c>
      <c r="I45" s="28">
        <v>0.75</v>
      </c>
      <c r="L45" s="28">
        <v>6</v>
      </c>
      <c r="O45" s="28" t="s">
        <v>51</v>
      </c>
    </row>
    <row r="46" spans="1:14" s="28" customFormat="1" ht="15">
      <c r="A46" s="54">
        <v>40322</v>
      </c>
      <c r="B46" s="28">
        <v>7</v>
      </c>
      <c r="C46" s="28">
        <v>45</v>
      </c>
      <c r="D46" s="28">
        <v>10</v>
      </c>
      <c r="E46" s="28">
        <v>39.1875</v>
      </c>
      <c r="F46" s="28">
        <v>10.367063492063492</v>
      </c>
      <c r="G46" s="28">
        <v>39.1875</v>
      </c>
      <c r="H46" s="28">
        <v>10.367063492063492</v>
      </c>
      <c r="I46" s="28">
        <v>22.75</v>
      </c>
      <c r="J46" s="28">
        <v>41.34065934065934</v>
      </c>
      <c r="K46" s="28">
        <v>10.936682365253795</v>
      </c>
      <c r="L46" s="28">
        <v>6</v>
      </c>
      <c r="M46" s="28">
        <v>6.8901098901098905</v>
      </c>
      <c r="N46" s="28">
        <v>1.8227803942089658</v>
      </c>
    </row>
    <row r="47" spans="1:14" s="28" customFormat="1" ht="15">
      <c r="A47" s="54">
        <v>40323</v>
      </c>
      <c r="B47" s="28">
        <v>8</v>
      </c>
      <c r="C47" s="28">
        <v>0</v>
      </c>
      <c r="D47" s="28">
        <v>18</v>
      </c>
      <c r="E47" s="28">
        <v>70.5375</v>
      </c>
      <c r="F47" s="28">
        <v>18.660714285714285</v>
      </c>
      <c r="G47" s="28">
        <v>31.349999999999994</v>
      </c>
      <c r="H47" s="28">
        <v>8.293650793650793</v>
      </c>
      <c r="I47" s="28">
        <v>24.25</v>
      </c>
      <c r="J47" s="28">
        <v>31.026804123711337</v>
      </c>
      <c r="K47" s="28">
        <v>8.208149239077073</v>
      </c>
      <c r="L47" s="28">
        <v>6</v>
      </c>
      <c r="M47" s="28">
        <v>5.171134020618556</v>
      </c>
      <c r="N47" s="28">
        <v>1.3680248731795122</v>
      </c>
    </row>
    <row r="48" spans="1:15" s="28" customFormat="1" ht="15">
      <c r="A48" s="56">
        <v>40323</v>
      </c>
      <c r="B48" s="28">
        <v>10</v>
      </c>
      <c r="C48" s="28">
        <v>30</v>
      </c>
      <c r="D48" s="28">
        <v>0</v>
      </c>
      <c r="E48" s="57">
        <v>0</v>
      </c>
      <c r="F48" s="57">
        <v>0</v>
      </c>
      <c r="G48" s="58"/>
      <c r="H48" s="57"/>
      <c r="I48" s="28">
        <v>2.5</v>
      </c>
      <c r="J48" s="57"/>
      <c r="K48" s="57"/>
      <c r="L48" s="28">
        <v>6</v>
      </c>
      <c r="M48" s="57"/>
      <c r="N48" s="57"/>
      <c r="O48" s="28" t="s">
        <v>52</v>
      </c>
    </row>
    <row r="49" spans="1:14" s="28" customFormat="1" ht="15">
      <c r="A49" s="56">
        <v>40324</v>
      </c>
      <c r="B49" s="28">
        <v>8</v>
      </c>
      <c r="C49" s="28">
        <v>0</v>
      </c>
      <c r="D49" s="28">
        <v>5</v>
      </c>
      <c r="E49" s="57">
        <v>19.59375</v>
      </c>
      <c r="F49" s="57">
        <v>5.183531746031746</v>
      </c>
      <c r="G49" s="58">
        <v>19.59375</v>
      </c>
      <c r="H49" s="57">
        <v>5.183531746031746</v>
      </c>
      <c r="I49" s="28">
        <v>21.5</v>
      </c>
      <c r="J49" s="57">
        <v>21.872093023255815</v>
      </c>
      <c r="K49" s="57">
        <v>5.786267995570322</v>
      </c>
      <c r="L49" s="28">
        <v>7</v>
      </c>
      <c r="M49" s="57">
        <v>3.1245847176079735</v>
      </c>
      <c r="N49" s="57">
        <v>0.8266097136529031</v>
      </c>
    </row>
    <row r="50" spans="1:14" s="28" customFormat="1" ht="15">
      <c r="A50" s="28">
        <v>40325</v>
      </c>
      <c r="B50" s="28">
        <v>8</v>
      </c>
      <c r="C50" s="28">
        <v>15</v>
      </c>
      <c r="D50" s="28">
        <v>26</v>
      </c>
      <c r="E50" s="28">
        <v>101.88749999999999</v>
      </c>
      <c r="F50" s="28">
        <v>26.95436507936508</v>
      </c>
      <c r="G50" s="28">
        <v>82.29374999999999</v>
      </c>
      <c r="H50" s="28">
        <v>21.770833333333332</v>
      </c>
      <c r="I50" s="28">
        <v>24</v>
      </c>
      <c r="J50" s="28">
        <v>82.29374999999999</v>
      </c>
      <c r="K50" s="28">
        <v>21.770833333333332</v>
      </c>
      <c r="L50" s="28">
        <v>7</v>
      </c>
      <c r="M50" s="28">
        <v>11.756249999999998</v>
      </c>
      <c r="N50" s="28">
        <v>3.110119047619047</v>
      </c>
    </row>
    <row r="51" spans="1:14" s="28" customFormat="1" ht="15">
      <c r="A51" s="28">
        <v>40325</v>
      </c>
      <c r="B51" s="28">
        <v>19</v>
      </c>
      <c r="C51" s="28">
        <v>0</v>
      </c>
      <c r="D51" s="28">
        <v>35</v>
      </c>
      <c r="E51" s="28">
        <v>137.15625</v>
      </c>
      <c r="F51" s="28">
        <v>36.28472222222222</v>
      </c>
      <c r="G51" s="28">
        <v>35.26875000000001</v>
      </c>
      <c r="H51" s="28">
        <v>9.330357142857146</v>
      </c>
      <c r="I51" s="28">
        <v>10.75</v>
      </c>
      <c r="J51" s="28">
        <v>78.73953488372096</v>
      </c>
      <c r="K51" s="28">
        <v>20.830564784053166</v>
      </c>
      <c r="L51" s="28">
        <v>8</v>
      </c>
      <c r="M51" s="28">
        <v>9.84244186046512</v>
      </c>
      <c r="N51" s="28">
        <v>2.603820598006646</v>
      </c>
    </row>
    <row r="52" spans="1:15" s="28" customFormat="1" ht="15">
      <c r="A52" s="28">
        <v>40325</v>
      </c>
      <c r="B52" s="28">
        <v>19</v>
      </c>
      <c r="C52" s="28">
        <v>0</v>
      </c>
      <c r="D52" s="28">
        <v>0</v>
      </c>
      <c r="E52" s="28">
        <v>0</v>
      </c>
      <c r="F52" s="28">
        <v>0</v>
      </c>
      <c r="I52" s="28">
        <v>0</v>
      </c>
      <c r="L52" s="28">
        <v>8</v>
      </c>
      <c r="O52" s="28" t="s">
        <v>49</v>
      </c>
    </row>
    <row r="53" spans="1:14" s="28" customFormat="1" ht="15">
      <c r="A53" s="28">
        <v>40326</v>
      </c>
      <c r="B53" s="28">
        <v>8</v>
      </c>
      <c r="C53" s="28">
        <v>0</v>
      </c>
      <c r="D53" s="28">
        <v>5</v>
      </c>
      <c r="E53" s="28">
        <v>19.59375</v>
      </c>
      <c r="F53" s="28">
        <v>5.183531746031746</v>
      </c>
      <c r="G53" s="28">
        <v>19.59375</v>
      </c>
      <c r="H53" s="28">
        <v>5.183531746031746</v>
      </c>
      <c r="I53" s="28">
        <v>13</v>
      </c>
      <c r="J53" s="28">
        <v>36.17307692307693</v>
      </c>
      <c r="K53" s="28">
        <v>9.569597069597071</v>
      </c>
      <c r="L53" s="28">
        <v>8</v>
      </c>
      <c r="M53" s="28">
        <v>4.521634615384616</v>
      </c>
      <c r="N53" s="28">
        <v>1.196199633699634</v>
      </c>
    </row>
    <row r="54" spans="1:14" s="28" customFormat="1" ht="15">
      <c r="A54" s="28">
        <v>40327</v>
      </c>
      <c r="B54" s="28">
        <v>8</v>
      </c>
      <c r="C54" s="28">
        <v>0</v>
      </c>
      <c r="D54" s="28">
        <v>25</v>
      </c>
      <c r="E54" s="28">
        <v>97.96875</v>
      </c>
      <c r="F54" s="28">
        <v>25.91765873015873</v>
      </c>
      <c r="G54" s="28">
        <v>78.375</v>
      </c>
      <c r="H54" s="28">
        <v>20.734126984126984</v>
      </c>
      <c r="I54" s="28">
        <v>24</v>
      </c>
      <c r="J54" s="28">
        <v>78.375</v>
      </c>
      <c r="K54" s="28">
        <v>20.734126984126984</v>
      </c>
      <c r="L54" s="28">
        <v>7</v>
      </c>
      <c r="M54" s="28">
        <v>11.196428571428571</v>
      </c>
      <c r="N54" s="28">
        <v>2.9620181405895694</v>
      </c>
    </row>
    <row r="55" spans="1:14" s="28" customFormat="1" ht="15">
      <c r="A55" s="28" t="s">
        <v>10</v>
      </c>
      <c r="B55" s="28">
        <v>8</v>
      </c>
      <c r="C55" s="28">
        <v>0</v>
      </c>
      <c r="D55" s="28">
        <v>28</v>
      </c>
      <c r="E55" s="28">
        <v>109.725</v>
      </c>
      <c r="F55" s="28">
        <v>29.02777777777778</v>
      </c>
      <c r="G55" s="28">
        <v>11.756249999999994</v>
      </c>
      <c r="H55" s="28">
        <v>3.110119047619046</v>
      </c>
      <c r="I55" s="28">
        <v>24</v>
      </c>
      <c r="J55" s="28">
        <v>11.756249999999994</v>
      </c>
      <c r="K55" s="28">
        <v>3.110119047619046</v>
      </c>
      <c r="L55" s="28">
        <v>7</v>
      </c>
      <c r="M55" s="28">
        <v>1.679464285714285</v>
      </c>
      <c r="N55" s="28">
        <v>0.4443027210884352</v>
      </c>
    </row>
    <row r="56" spans="1:21" ht="15">
      <c r="A56" s="16"/>
      <c r="B56" s="16"/>
      <c r="C56" s="16"/>
      <c r="D56" s="16"/>
      <c r="E56" s="16"/>
      <c r="F56" s="16"/>
      <c r="G56" s="16"/>
      <c r="H56" s="16">
        <v>252.95634920634922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2">
      <pane xSplit="1" ySplit="8" topLeftCell="B1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F53" sqref="F53"/>
    </sheetView>
  </sheetViews>
  <sheetFormatPr defaultColWidth="11.421875" defaultRowHeight="15"/>
  <cols>
    <col min="5" max="5" width="17.140625" style="0" customWidth="1"/>
    <col min="6" max="6" width="19.28125" style="0" customWidth="1"/>
    <col min="7" max="7" width="16.8515625" style="0" customWidth="1"/>
    <col min="12" max="12" width="17.8515625" style="0" customWidth="1"/>
    <col min="13" max="13" width="24.28125" style="0" customWidth="1"/>
    <col min="14" max="14" width="16.421875" style="0" customWidth="1"/>
  </cols>
  <sheetData>
    <row r="1" spans="1:12" ht="15">
      <c r="A1" t="s">
        <v>57</v>
      </c>
      <c r="L1" t="s">
        <v>58</v>
      </c>
    </row>
    <row r="2" spans="1:18" ht="15">
      <c r="A2" s="16" t="s">
        <v>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 t="s">
        <v>58</v>
      </c>
      <c r="M2" s="16"/>
      <c r="N2" s="16"/>
      <c r="O2" s="16"/>
      <c r="P2" s="16"/>
      <c r="Q2" s="16"/>
      <c r="R2" s="16"/>
    </row>
    <row r="3" spans="1:18" ht="15">
      <c r="A3" s="16"/>
      <c r="B3" s="16"/>
      <c r="C3" s="16"/>
      <c r="D3" s="16"/>
      <c r="E3" s="16"/>
      <c r="F3" s="16" t="s">
        <v>59</v>
      </c>
      <c r="G3" s="16"/>
      <c r="H3" s="16"/>
      <c r="I3" s="16"/>
      <c r="J3" s="16"/>
      <c r="K3" s="16"/>
      <c r="L3" s="16" t="s">
        <v>60</v>
      </c>
      <c r="M3" s="16"/>
      <c r="N3" s="16"/>
      <c r="O3" s="16"/>
      <c r="P3" s="16"/>
      <c r="Q3" s="16"/>
      <c r="R3" s="16"/>
    </row>
    <row r="4" spans="1:18" ht="15">
      <c r="A4" s="16" t="s">
        <v>61</v>
      </c>
      <c r="B4" s="16" t="s">
        <v>62</v>
      </c>
      <c r="C4" s="16" t="s">
        <v>63</v>
      </c>
      <c r="D4" s="16" t="s">
        <v>64</v>
      </c>
      <c r="E4" s="16"/>
      <c r="F4" s="16" t="s">
        <v>65</v>
      </c>
      <c r="G4" s="16" t="s">
        <v>66</v>
      </c>
      <c r="H4" s="16" t="s">
        <v>67</v>
      </c>
      <c r="I4" s="16" t="s">
        <v>68</v>
      </c>
      <c r="J4" s="16"/>
      <c r="K4" s="16"/>
      <c r="L4" s="16" t="s">
        <v>69</v>
      </c>
      <c r="M4" s="16"/>
      <c r="N4" s="16"/>
      <c r="O4" s="16"/>
      <c r="P4" s="16"/>
      <c r="Q4" s="16"/>
      <c r="R4" s="16"/>
    </row>
    <row r="5" spans="1:18" ht="15">
      <c r="A5" s="16"/>
      <c r="B5" s="16">
        <v>3.785</v>
      </c>
      <c r="C5" s="16">
        <v>10.53</v>
      </c>
      <c r="D5" s="16">
        <v>-65</v>
      </c>
      <c r="E5" s="16"/>
      <c r="F5" s="16">
        <v>234.3</v>
      </c>
      <c r="G5" s="16">
        <v>8.85066987279832</v>
      </c>
      <c r="H5" s="16">
        <v>7</v>
      </c>
      <c r="I5" s="16">
        <v>3.7817960733457903</v>
      </c>
      <c r="J5" s="16"/>
      <c r="K5" s="16"/>
      <c r="L5" s="16" t="s">
        <v>70</v>
      </c>
      <c r="M5" s="16"/>
      <c r="N5" s="16"/>
      <c r="O5" s="16"/>
      <c r="P5" s="16"/>
      <c r="Q5" s="16"/>
      <c r="R5" s="16"/>
    </row>
    <row r="6" spans="1:18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 t="s">
        <v>108</v>
      </c>
      <c r="M6" s="16"/>
      <c r="N6" s="16"/>
      <c r="O6" s="16"/>
      <c r="P6" s="16"/>
      <c r="Q6" s="16"/>
      <c r="R6" s="16"/>
    </row>
    <row r="7" spans="1:18" ht="15">
      <c r="A7" s="16" t="s">
        <v>109</v>
      </c>
      <c r="B7" s="16">
        <v>630.9594999999999</v>
      </c>
      <c r="C7" s="16"/>
      <c r="D7" s="16" t="s">
        <v>110</v>
      </c>
      <c r="E7" s="16"/>
      <c r="F7" s="16"/>
      <c r="G7" s="16"/>
      <c r="H7" s="16"/>
      <c r="I7" s="16"/>
      <c r="J7" s="16"/>
      <c r="K7" s="16" t="s">
        <v>111</v>
      </c>
      <c r="L7" s="16"/>
      <c r="M7" s="16"/>
      <c r="N7" s="16"/>
      <c r="O7" s="16"/>
      <c r="P7" s="16"/>
      <c r="Q7" s="16"/>
      <c r="R7" s="16"/>
    </row>
    <row r="8" spans="1:18" ht="15">
      <c r="A8" s="16" t="s">
        <v>147</v>
      </c>
      <c r="B8" s="16" t="s">
        <v>148</v>
      </c>
      <c r="C8" s="16" t="s">
        <v>148</v>
      </c>
      <c r="D8" s="16" t="s">
        <v>149</v>
      </c>
      <c r="E8" s="16" t="s">
        <v>150</v>
      </c>
      <c r="F8" s="16" t="s">
        <v>151</v>
      </c>
      <c r="G8" s="16" t="s">
        <v>152</v>
      </c>
      <c r="H8" s="16" t="s">
        <v>152</v>
      </c>
      <c r="I8" s="16" t="s">
        <v>153</v>
      </c>
      <c r="J8" s="16" t="s">
        <v>112</v>
      </c>
      <c r="K8" s="16" t="s">
        <v>112</v>
      </c>
      <c r="L8" s="16" t="s">
        <v>155</v>
      </c>
      <c r="M8" s="16" t="s">
        <v>113</v>
      </c>
      <c r="N8" s="16" t="s">
        <v>156</v>
      </c>
      <c r="O8" s="16" t="s">
        <v>157</v>
      </c>
      <c r="P8" s="16"/>
      <c r="Q8" s="16"/>
      <c r="R8" s="16"/>
    </row>
    <row r="9" spans="1:18" ht="15">
      <c r="A9" s="16"/>
      <c r="B9" s="16" t="s">
        <v>158</v>
      </c>
      <c r="C9" s="16" t="s">
        <v>23</v>
      </c>
      <c r="D9" s="16" t="s">
        <v>24</v>
      </c>
      <c r="E9" s="16" t="s">
        <v>25</v>
      </c>
      <c r="F9" s="16" t="s">
        <v>26</v>
      </c>
      <c r="G9" s="16" t="s">
        <v>25</v>
      </c>
      <c r="H9" s="16" t="s">
        <v>26</v>
      </c>
      <c r="I9" s="16" t="s">
        <v>27</v>
      </c>
      <c r="J9" s="16" t="s">
        <v>28</v>
      </c>
      <c r="K9" s="16" t="s">
        <v>29</v>
      </c>
      <c r="L9" s="16"/>
      <c r="M9" s="16" t="s">
        <v>30</v>
      </c>
      <c r="N9" s="16" t="s">
        <v>31</v>
      </c>
      <c r="O9" s="16"/>
      <c r="P9" s="16"/>
      <c r="Q9" s="16"/>
      <c r="R9" s="16"/>
    </row>
    <row r="10" spans="1:18" ht="15">
      <c r="A10" s="15" t="s">
        <v>32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6" s="47" customFormat="1" ht="15">
      <c r="A11" s="46">
        <v>40286</v>
      </c>
      <c r="B11" s="47">
        <v>13</v>
      </c>
      <c r="C11" s="47">
        <v>0</v>
      </c>
      <c r="D11" s="47">
        <v>63</v>
      </c>
      <c r="E11" s="47">
        <v>598.39</v>
      </c>
      <c r="F11" s="47">
        <v>158.09511228533685</v>
      </c>
    </row>
    <row r="12" spans="1:14" s="47" customFormat="1" ht="15">
      <c r="A12" s="46">
        <v>40287</v>
      </c>
      <c r="B12" s="47">
        <v>8</v>
      </c>
      <c r="C12" s="47">
        <v>0</v>
      </c>
      <c r="D12" s="47">
        <v>59</v>
      </c>
      <c r="E12" s="47">
        <v>556.27</v>
      </c>
      <c r="F12" s="47">
        <v>146.9669749009247</v>
      </c>
      <c r="G12" s="47">
        <v>42.120000000000005</v>
      </c>
      <c r="H12" s="47">
        <v>11.128137384412154</v>
      </c>
      <c r="I12" s="47">
        <v>19</v>
      </c>
      <c r="J12" s="47">
        <v>53.20421052631579</v>
      </c>
      <c r="K12" s="47">
        <v>14.056594590836404</v>
      </c>
      <c r="L12" s="47">
        <v>7</v>
      </c>
      <c r="M12" s="47">
        <v>7.600601503759399</v>
      </c>
      <c r="N12" s="47">
        <v>2.008084941548058</v>
      </c>
    </row>
    <row r="13" spans="1:14" s="47" customFormat="1" ht="15">
      <c r="A13" s="46">
        <v>40288</v>
      </c>
      <c r="B13" s="47">
        <v>8</v>
      </c>
      <c r="C13" s="47">
        <v>45</v>
      </c>
      <c r="D13" s="47">
        <v>52</v>
      </c>
      <c r="E13" s="47">
        <v>482.55999999999995</v>
      </c>
      <c r="F13" s="47">
        <v>127.49273447820342</v>
      </c>
      <c r="G13" s="47">
        <v>73.71000000000004</v>
      </c>
      <c r="H13" s="47">
        <v>19.474240422721277</v>
      </c>
      <c r="I13" s="47">
        <v>24.75</v>
      </c>
      <c r="J13" s="47">
        <v>71.47636363636367</v>
      </c>
      <c r="K13" s="47">
        <v>18.884111925063056</v>
      </c>
      <c r="L13" s="47">
        <v>7</v>
      </c>
      <c r="M13" s="47">
        <v>10.210909090909096</v>
      </c>
      <c r="N13" s="47">
        <v>2.697730275009008</v>
      </c>
    </row>
    <row r="14" spans="1:14" s="47" customFormat="1" ht="15">
      <c r="A14" s="46">
        <v>40289</v>
      </c>
      <c r="B14" s="47">
        <v>7</v>
      </c>
      <c r="C14" s="47">
        <v>0</v>
      </c>
      <c r="D14" s="47">
        <v>48</v>
      </c>
      <c r="E14" s="47">
        <v>440.43999999999994</v>
      </c>
      <c r="F14" s="47">
        <v>116.36459709379126</v>
      </c>
      <c r="G14" s="47">
        <v>42.120000000000005</v>
      </c>
      <c r="H14" s="47">
        <v>11.128137384412154</v>
      </c>
      <c r="I14" s="47">
        <v>24.25</v>
      </c>
      <c r="J14" s="47">
        <v>41.685773195876294</v>
      </c>
      <c r="K14" s="47">
        <v>11.013414318593473</v>
      </c>
      <c r="L14" s="47">
        <v>7</v>
      </c>
      <c r="M14" s="47">
        <v>5.955110456553756</v>
      </c>
      <c r="N14" s="47">
        <v>1.5733449026562103</v>
      </c>
    </row>
    <row r="15" spans="1:15" s="47" customFormat="1" ht="15">
      <c r="A15" s="46">
        <v>40289</v>
      </c>
      <c r="B15" s="47">
        <v>8</v>
      </c>
      <c r="C15" s="47">
        <v>45</v>
      </c>
      <c r="D15" s="47">
        <v>63</v>
      </c>
      <c r="E15" s="47">
        <v>598.39</v>
      </c>
      <c r="F15" s="47">
        <v>158.09511228533685</v>
      </c>
      <c r="O15" s="47" t="s">
        <v>114</v>
      </c>
    </row>
    <row r="16" spans="1:14" s="47" customFormat="1" ht="15">
      <c r="A16" s="46">
        <v>40290</v>
      </c>
      <c r="B16" s="47">
        <v>8</v>
      </c>
      <c r="C16" s="47">
        <v>45</v>
      </c>
      <c r="D16" s="47">
        <v>56</v>
      </c>
      <c r="E16" s="47">
        <v>524.68</v>
      </c>
      <c r="F16" s="47">
        <v>138.62087186261556</v>
      </c>
      <c r="G16" s="47">
        <v>73.71000000000004</v>
      </c>
      <c r="H16" s="47">
        <v>19.474240422721277</v>
      </c>
      <c r="I16" s="47">
        <v>24</v>
      </c>
      <c r="J16" s="47">
        <v>73.71000000000004</v>
      </c>
      <c r="K16" s="47">
        <v>19.474240422721277</v>
      </c>
      <c r="L16" s="47">
        <v>7</v>
      </c>
      <c r="M16" s="47">
        <v>10.530000000000005</v>
      </c>
      <c r="N16" s="47">
        <v>2.7820343461030395</v>
      </c>
    </row>
    <row r="17" spans="1:14" s="47" customFormat="1" ht="15">
      <c r="A17" s="46">
        <v>40291</v>
      </c>
      <c r="B17" s="47">
        <v>8</v>
      </c>
      <c r="C17" s="47">
        <v>0</v>
      </c>
      <c r="D17" s="47">
        <v>52</v>
      </c>
      <c r="E17" s="47">
        <v>482.55999999999995</v>
      </c>
      <c r="F17" s="47">
        <v>127.49273447820342</v>
      </c>
      <c r="G17" s="47">
        <v>42.120000000000005</v>
      </c>
      <c r="H17" s="47">
        <v>11.128137384412154</v>
      </c>
      <c r="I17" s="47">
        <v>23.25</v>
      </c>
      <c r="J17" s="47">
        <v>43.47870967741936</v>
      </c>
      <c r="K17" s="47">
        <v>11.487109558102869</v>
      </c>
      <c r="L17" s="47">
        <v>6</v>
      </c>
      <c r="M17" s="47">
        <v>7.246451612903226</v>
      </c>
      <c r="N17" s="47">
        <v>1.9145182596838113</v>
      </c>
    </row>
    <row r="18" spans="1:14" s="47" customFormat="1" ht="15">
      <c r="A18" s="46">
        <v>40292</v>
      </c>
      <c r="B18" s="47">
        <v>8</v>
      </c>
      <c r="C18" s="47">
        <v>17</v>
      </c>
      <c r="D18" s="47">
        <v>44.5</v>
      </c>
      <c r="E18" s="47">
        <v>403.585</v>
      </c>
      <c r="F18" s="47">
        <v>106.62747688243064</v>
      </c>
      <c r="G18" s="47">
        <v>78.97499999999997</v>
      </c>
      <c r="H18" s="47">
        <v>20.86525759577278</v>
      </c>
      <c r="I18" s="47">
        <v>24</v>
      </c>
      <c r="J18" s="47">
        <v>78.97499999999997</v>
      </c>
      <c r="K18" s="47">
        <v>20.86525759577278</v>
      </c>
      <c r="L18" s="47">
        <v>7</v>
      </c>
      <c r="M18" s="47">
        <v>11.282142857142853</v>
      </c>
      <c r="N18" s="47">
        <v>2.980751085110397</v>
      </c>
    </row>
    <row r="19" spans="1:14" s="47" customFormat="1" ht="15">
      <c r="A19" s="46">
        <v>40293</v>
      </c>
      <c r="B19" s="47">
        <v>8</v>
      </c>
      <c r="C19" s="47">
        <v>8</v>
      </c>
      <c r="D19" s="47">
        <v>38.5</v>
      </c>
      <c r="E19" s="47">
        <v>340.405</v>
      </c>
      <c r="F19" s="47">
        <v>89.93527080581241</v>
      </c>
      <c r="G19" s="47">
        <v>63.18000000000001</v>
      </c>
      <c r="H19" s="47">
        <v>16.69220607661823</v>
      </c>
      <c r="I19" s="47">
        <v>24</v>
      </c>
      <c r="J19" s="47">
        <v>63.18000000000001</v>
      </c>
      <c r="K19" s="47">
        <v>16.69220607661823</v>
      </c>
      <c r="L19" s="47">
        <v>7</v>
      </c>
      <c r="M19" s="47">
        <v>9.025714285714287</v>
      </c>
      <c r="N19" s="47">
        <v>2.384600868088319</v>
      </c>
    </row>
    <row r="20" spans="1:15" s="18" customFormat="1" ht="15">
      <c r="A20" s="17">
        <v>40297</v>
      </c>
      <c r="B20" s="18">
        <v>15</v>
      </c>
      <c r="C20" s="18">
        <v>0</v>
      </c>
      <c r="D20" s="18">
        <v>63</v>
      </c>
      <c r="E20" s="18">
        <v>598.39</v>
      </c>
      <c r="F20" s="18">
        <v>158.09511228533685</v>
      </c>
      <c r="I20" s="18">
        <v>17.5</v>
      </c>
      <c r="L20" s="18">
        <v>6</v>
      </c>
      <c r="O20" s="18" t="s">
        <v>76</v>
      </c>
    </row>
    <row r="21" spans="1:14" s="18" customFormat="1" ht="15">
      <c r="A21" s="17">
        <v>40298</v>
      </c>
      <c r="B21" s="18">
        <v>8</v>
      </c>
      <c r="C21" s="18">
        <v>27</v>
      </c>
      <c r="D21" s="18">
        <v>59</v>
      </c>
      <c r="E21" s="18">
        <v>556.27</v>
      </c>
      <c r="F21" s="18">
        <v>146.9669749009247</v>
      </c>
      <c r="G21" s="18">
        <v>42.120000000000005</v>
      </c>
      <c r="H21" s="18">
        <v>11.128137384412154</v>
      </c>
      <c r="I21" s="18">
        <v>24</v>
      </c>
      <c r="J21" s="18">
        <v>42.120000000000005</v>
      </c>
      <c r="K21" s="18">
        <v>11.128137384412154</v>
      </c>
      <c r="L21" s="18">
        <v>6</v>
      </c>
      <c r="M21" s="18">
        <v>7.0200000000000005</v>
      </c>
      <c r="N21" s="18">
        <v>1.8546895640686922</v>
      </c>
    </row>
    <row r="22" spans="1:14" s="18" customFormat="1" ht="15">
      <c r="A22" s="17">
        <v>40299</v>
      </c>
      <c r="B22" s="18">
        <v>8</v>
      </c>
      <c r="C22" s="18">
        <v>31</v>
      </c>
      <c r="D22" s="18">
        <v>54</v>
      </c>
      <c r="E22" s="18">
        <v>503.62</v>
      </c>
      <c r="F22" s="18">
        <v>133.0568031704095</v>
      </c>
      <c r="G22" s="18">
        <v>52.64999999999998</v>
      </c>
      <c r="H22" s="18">
        <v>13.910171730515184</v>
      </c>
      <c r="I22" s="18">
        <v>24</v>
      </c>
      <c r="J22" s="18">
        <v>52.64999999999998</v>
      </c>
      <c r="K22" s="18">
        <v>13.910171730515184</v>
      </c>
      <c r="L22" s="18">
        <v>6</v>
      </c>
      <c r="M22" s="18">
        <v>8.774999999999997</v>
      </c>
      <c r="N22" s="18">
        <v>2.3183619550858645</v>
      </c>
    </row>
    <row r="23" spans="1:14" s="18" customFormat="1" ht="15">
      <c r="A23" s="17">
        <v>40300</v>
      </c>
      <c r="B23" s="18">
        <v>8</v>
      </c>
      <c r="C23" s="18">
        <v>0</v>
      </c>
      <c r="D23" s="18">
        <v>50</v>
      </c>
      <c r="E23" s="18">
        <v>461.5</v>
      </c>
      <c r="F23" s="18">
        <v>121.92866578599735</v>
      </c>
      <c r="G23" s="18">
        <v>42.120000000000005</v>
      </c>
      <c r="H23" s="18">
        <v>11.128137384412154</v>
      </c>
      <c r="I23" s="18">
        <v>23.5</v>
      </c>
      <c r="J23" s="18">
        <v>43.016170212765964</v>
      </c>
      <c r="K23" s="18">
        <v>11.364906264931562</v>
      </c>
      <c r="L23" s="18">
        <v>6</v>
      </c>
      <c r="M23" s="18">
        <v>7.16936170212766</v>
      </c>
      <c r="N23" s="18">
        <v>1.8941510441552603</v>
      </c>
    </row>
    <row r="24" spans="1:14" s="18" customFormat="1" ht="15">
      <c r="A24" s="17">
        <v>40301</v>
      </c>
      <c r="B24" s="18">
        <v>8</v>
      </c>
      <c r="C24" s="18">
        <v>14</v>
      </c>
      <c r="D24" s="18">
        <v>46</v>
      </c>
      <c r="E24" s="18">
        <v>419.38</v>
      </c>
      <c r="F24" s="18">
        <v>110.8005284015852</v>
      </c>
      <c r="G24" s="18">
        <v>42.120000000000005</v>
      </c>
      <c r="H24" s="18">
        <v>11.128137384412154</v>
      </c>
      <c r="I24" s="18">
        <v>24.25</v>
      </c>
      <c r="J24" s="18">
        <v>41.685773195876294</v>
      </c>
      <c r="K24" s="18">
        <v>11.013414318593473</v>
      </c>
      <c r="L24" s="18">
        <v>6</v>
      </c>
      <c r="M24" s="18">
        <v>6.947628865979382</v>
      </c>
      <c r="N24" s="18">
        <v>1.835569053098912</v>
      </c>
    </row>
    <row r="25" spans="1:14" s="18" customFormat="1" ht="15">
      <c r="A25" s="17">
        <v>40302</v>
      </c>
      <c r="B25" s="18">
        <v>8</v>
      </c>
      <c r="C25" s="18">
        <v>0</v>
      </c>
      <c r="D25" s="18">
        <v>40.5</v>
      </c>
      <c r="E25" s="18">
        <v>361.465</v>
      </c>
      <c r="F25" s="18">
        <v>95.49933949801849</v>
      </c>
      <c r="G25" s="18">
        <v>57.91500000000002</v>
      </c>
      <c r="H25" s="18">
        <v>15.301188903566716</v>
      </c>
      <c r="I25" s="18">
        <v>23.75</v>
      </c>
      <c r="J25" s="18">
        <v>58.52463157894739</v>
      </c>
      <c r="K25" s="18">
        <v>15.46225404992005</v>
      </c>
      <c r="L25" s="18">
        <v>6</v>
      </c>
      <c r="M25" s="18">
        <v>9.754105263157898</v>
      </c>
      <c r="N25" s="18">
        <v>2.5770423416533417</v>
      </c>
    </row>
    <row r="26" spans="1:14" s="18" customFormat="1" ht="15">
      <c r="A26" s="17">
        <v>40303</v>
      </c>
      <c r="B26" s="18">
        <v>8</v>
      </c>
      <c r="C26" s="18">
        <v>9</v>
      </c>
      <c r="D26" s="18">
        <v>33.5</v>
      </c>
      <c r="E26" s="18">
        <v>287.755</v>
      </c>
      <c r="F26" s="18">
        <v>76.02509907529722</v>
      </c>
      <c r="G26" s="18">
        <v>73.70999999999998</v>
      </c>
      <c r="H26" s="18">
        <v>19.474240422721262</v>
      </c>
      <c r="I26" s="18">
        <v>24</v>
      </c>
      <c r="J26" s="18">
        <v>73.70999999999998</v>
      </c>
      <c r="K26" s="18">
        <v>19.474240422721262</v>
      </c>
      <c r="L26" s="18">
        <v>7</v>
      </c>
      <c r="M26" s="18">
        <v>10.529999999999998</v>
      </c>
      <c r="N26" s="18">
        <v>2.7820343461030377</v>
      </c>
    </row>
    <row r="27" spans="1:14" s="29" customFormat="1" ht="15">
      <c r="A27" s="53">
        <v>40304</v>
      </c>
      <c r="B27" s="29">
        <v>8</v>
      </c>
      <c r="C27" s="29">
        <v>15</v>
      </c>
      <c r="D27" s="29">
        <v>28</v>
      </c>
      <c r="E27" s="29">
        <v>229.83999999999997</v>
      </c>
      <c r="F27" s="29">
        <v>60.72391017173051</v>
      </c>
      <c r="G27" s="29">
        <v>57.91500000000002</v>
      </c>
      <c r="H27" s="29">
        <v>15.301188903566716</v>
      </c>
      <c r="I27" s="29">
        <v>24</v>
      </c>
      <c r="J27" s="29">
        <v>57.91500000000002</v>
      </c>
      <c r="K27" s="29">
        <v>15.301188903566716</v>
      </c>
      <c r="L27" s="29">
        <v>7</v>
      </c>
      <c r="M27" s="29">
        <v>8.273571428571431</v>
      </c>
      <c r="N27" s="29">
        <v>2.1858841290809594</v>
      </c>
    </row>
    <row r="28" spans="1:14" s="29" customFormat="1" ht="15">
      <c r="A28" s="53">
        <v>40305</v>
      </c>
      <c r="B28" s="29">
        <v>8</v>
      </c>
      <c r="C28" s="29">
        <v>0</v>
      </c>
      <c r="D28" s="29">
        <v>24</v>
      </c>
      <c r="E28" s="29">
        <v>187.71999999999997</v>
      </c>
      <c r="F28" s="29">
        <v>49.59577278731835</v>
      </c>
      <c r="G28" s="29">
        <v>42.120000000000005</v>
      </c>
      <c r="H28" s="29">
        <v>11.128137384412154</v>
      </c>
      <c r="I28" s="29">
        <v>23.75</v>
      </c>
      <c r="J28" s="29">
        <v>42.56336842105264</v>
      </c>
      <c r="K28" s="29">
        <v>11.245275672669123</v>
      </c>
      <c r="L28" s="29">
        <v>7</v>
      </c>
      <c r="M28" s="29">
        <v>6.08048120300752</v>
      </c>
      <c r="N28" s="29">
        <v>1.6064679532384465</v>
      </c>
    </row>
    <row r="29" spans="1:15" s="29" customFormat="1" ht="15">
      <c r="A29" s="53">
        <v>40306</v>
      </c>
      <c r="B29" s="29">
        <v>9</v>
      </c>
      <c r="C29" s="29">
        <v>12</v>
      </c>
      <c r="D29" s="29">
        <v>20</v>
      </c>
      <c r="E29" s="29">
        <v>145.6</v>
      </c>
      <c r="F29" s="29">
        <v>38.467635402906204</v>
      </c>
      <c r="G29" s="29">
        <v>42.119999999999976</v>
      </c>
      <c r="H29" s="29">
        <v>11.128137384412147</v>
      </c>
      <c r="I29" s="29">
        <v>24.2</v>
      </c>
      <c r="J29" s="29">
        <v>41.771900826446256</v>
      </c>
      <c r="K29" s="29">
        <v>11.03616930685502</v>
      </c>
      <c r="L29" s="29">
        <v>6</v>
      </c>
      <c r="M29" s="29">
        <v>6.961983471074376</v>
      </c>
      <c r="N29" s="29">
        <v>1.8393615511425034</v>
      </c>
      <c r="O29" s="29" t="s">
        <v>47</v>
      </c>
    </row>
    <row r="30" spans="1:15" s="29" customFormat="1" ht="15">
      <c r="A30" s="53">
        <v>40307</v>
      </c>
      <c r="B30" s="29">
        <v>8</v>
      </c>
      <c r="C30" s="29">
        <v>30</v>
      </c>
      <c r="D30" s="29">
        <v>62</v>
      </c>
      <c r="E30" s="29">
        <v>587.86</v>
      </c>
      <c r="F30" s="29">
        <v>155.3130779392338</v>
      </c>
      <c r="L30" s="29">
        <v>6</v>
      </c>
      <c r="O30" s="29" t="s">
        <v>76</v>
      </c>
    </row>
    <row r="31" spans="1:14" s="29" customFormat="1" ht="15">
      <c r="A31" s="53">
        <v>40308</v>
      </c>
      <c r="B31" s="29">
        <v>8</v>
      </c>
      <c r="C31" s="29">
        <v>11</v>
      </c>
      <c r="D31" s="29">
        <v>58.5</v>
      </c>
      <c r="E31" s="29">
        <v>551.005</v>
      </c>
      <c r="F31" s="29">
        <v>145.57595772787317</v>
      </c>
      <c r="G31" s="29">
        <v>36.85500000000002</v>
      </c>
      <c r="H31" s="29">
        <v>9.737120211360638</v>
      </c>
      <c r="I31" s="29">
        <v>23.75</v>
      </c>
      <c r="J31" s="29">
        <v>37.24294736842107</v>
      </c>
      <c r="K31" s="29">
        <v>9.839616213585487</v>
      </c>
      <c r="L31" s="29">
        <v>6</v>
      </c>
      <c r="M31" s="29">
        <v>6.207157894736845</v>
      </c>
      <c r="N31" s="29">
        <v>1.6399360355975812</v>
      </c>
    </row>
    <row r="32" spans="1:14" s="29" customFormat="1" ht="15">
      <c r="A32" s="53">
        <v>40309</v>
      </c>
      <c r="B32" s="29">
        <v>8</v>
      </c>
      <c r="C32" s="29">
        <v>15</v>
      </c>
      <c r="D32" s="29">
        <v>54.5</v>
      </c>
      <c r="E32" s="29">
        <v>508.885</v>
      </c>
      <c r="F32" s="29">
        <v>134.44782034346102</v>
      </c>
      <c r="G32" s="29">
        <v>42.120000000000005</v>
      </c>
      <c r="H32" s="29">
        <v>11.128137384412154</v>
      </c>
      <c r="I32" s="29">
        <v>24</v>
      </c>
      <c r="J32" s="29">
        <v>42.120000000000005</v>
      </c>
      <c r="K32" s="29">
        <v>11.128137384412154</v>
      </c>
      <c r="L32" s="29">
        <v>6</v>
      </c>
      <c r="M32" s="29">
        <v>7.0200000000000005</v>
      </c>
      <c r="N32" s="29">
        <v>1.8546895640686922</v>
      </c>
    </row>
    <row r="33" spans="1:14" s="29" customFormat="1" ht="15">
      <c r="A33" s="53">
        <v>40310</v>
      </c>
      <c r="B33" s="29">
        <v>8</v>
      </c>
      <c r="C33" s="29">
        <v>45</v>
      </c>
      <c r="D33" s="29">
        <v>49</v>
      </c>
      <c r="E33" s="29">
        <v>450.9699999999999</v>
      </c>
      <c r="F33" s="29">
        <v>119.14663143989429</v>
      </c>
      <c r="G33" s="29">
        <v>57.91500000000008</v>
      </c>
      <c r="H33" s="29">
        <v>15.30118890356673</v>
      </c>
      <c r="I33" s="29">
        <v>24.5</v>
      </c>
      <c r="J33" s="29">
        <v>56.73306122448987</v>
      </c>
      <c r="K33" s="29">
        <v>14.98891974226945</v>
      </c>
      <c r="L33" s="29">
        <v>6</v>
      </c>
      <c r="M33" s="29">
        <v>9.455510204081646</v>
      </c>
      <c r="N33" s="29">
        <v>2.4981532903782417</v>
      </c>
    </row>
    <row r="34" spans="1:12" s="23" customFormat="1" ht="15">
      <c r="A34" s="22">
        <v>40314</v>
      </c>
      <c r="B34" s="23">
        <v>1</v>
      </c>
      <c r="C34" s="23">
        <v>15</v>
      </c>
      <c r="D34" s="23">
        <v>61</v>
      </c>
      <c r="E34" s="23">
        <v>577.3299999999999</v>
      </c>
      <c r="F34" s="23">
        <v>152.53104359313076</v>
      </c>
      <c r="L34" s="23">
        <v>7</v>
      </c>
    </row>
    <row r="35" spans="1:14" s="23" customFormat="1" ht="15">
      <c r="A35" s="22">
        <v>40315</v>
      </c>
      <c r="B35" s="23">
        <v>8</v>
      </c>
      <c r="C35" s="23">
        <v>15</v>
      </c>
      <c r="D35" s="23">
        <v>59</v>
      </c>
      <c r="E35" s="23">
        <v>556.27</v>
      </c>
      <c r="F35" s="23">
        <v>146.9669749009247</v>
      </c>
      <c r="G35" s="23">
        <v>21.059999999999945</v>
      </c>
      <c r="H35" s="23">
        <v>5.564068692206062</v>
      </c>
      <c r="I35" s="23">
        <v>24</v>
      </c>
      <c r="J35" s="23">
        <v>21.059999999999945</v>
      </c>
      <c r="K35" s="23">
        <v>5.564068692206062</v>
      </c>
      <c r="L35" s="23">
        <v>7</v>
      </c>
      <c r="M35" s="23">
        <v>3.008571428571421</v>
      </c>
      <c r="N35" s="23">
        <v>0.7948669560294375</v>
      </c>
    </row>
    <row r="36" spans="1:17" s="23" customFormat="1" ht="15">
      <c r="A36" s="22">
        <v>40316</v>
      </c>
      <c r="B36" s="23">
        <v>8</v>
      </c>
      <c r="C36" s="23">
        <v>0</v>
      </c>
      <c r="D36" s="23">
        <v>38</v>
      </c>
      <c r="E36" s="23">
        <v>335.14</v>
      </c>
      <c r="F36" s="23">
        <v>88.54425363276088</v>
      </c>
      <c r="G36" s="23">
        <v>221.13</v>
      </c>
      <c r="H36" s="23">
        <v>58.4227212681638</v>
      </c>
      <c r="I36" s="23">
        <v>23.5</v>
      </c>
      <c r="J36" s="23">
        <v>225.83489361702124</v>
      </c>
      <c r="K36" s="23">
        <v>59.66575789089068</v>
      </c>
      <c r="L36" s="23">
        <v>7</v>
      </c>
      <c r="M36" s="23">
        <v>32.26212765957446</v>
      </c>
      <c r="N36" s="23">
        <v>8.523679698698668</v>
      </c>
      <c r="O36" s="23" t="s">
        <v>77</v>
      </c>
      <c r="P36" s="23" t="s">
        <v>11</v>
      </c>
      <c r="Q36" s="23">
        <v>13.661775806755987</v>
      </c>
    </row>
    <row r="37" spans="1:14" s="23" customFormat="1" ht="15">
      <c r="A37" s="22">
        <v>40317</v>
      </c>
      <c r="B37" s="23">
        <v>8</v>
      </c>
      <c r="C37" s="23">
        <v>0</v>
      </c>
      <c r="D37" s="23">
        <v>32.5</v>
      </c>
      <c r="E37" s="23">
        <v>277.22499999999997</v>
      </c>
      <c r="F37" s="23">
        <v>73.24306472919417</v>
      </c>
      <c r="G37" s="23">
        <v>57.91500000000002</v>
      </c>
      <c r="H37" s="23">
        <v>15.301188903566716</v>
      </c>
      <c r="I37" s="23">
        <v>24</v>
      </c>
      <c r="J37" s="23">
        <v>57.91500000000002</v>
      </c>
      <c r="K37" s="23">
        <v>15.301188903566716</v>
      </c>
      <c r="L37" s="23">
        <v>7</v>
      </c>
      <c r="M37" s="23">
        <v>8.273571428571431</v>
      </c>
      <c r="N37" s="23">
        <v>2.1858841290809594</v>
      </c>
    </row>
    <row r="38" spans="1:14" s="23" customFormat="1" ht="15">
      <c r="A38" s="22">
        <v>40318</v>
      </c>
      <c r="B38" s="23">
        <v>7</v>
      </c>
      <c r="C38" s="23">
        <v>50</v>
      </c>
      <c r="D38" s="23">
        <v>28</v>
      </c>
      <c r="E38" s="23">
        <v>229.83999999999997</v>
      </c>
      <c r="F38" s="23">
        <v>60.72391017173051</v>
      </c>
      <c r="G38" s="23">
        <v>47.38499999999999</v>
      </c>
      <c r="H38" s="23">
        <v>12.51915455746367</v>
      </c>
      <c r="I38" s="23">
        <v>23.83</v>
      </c>
      <c r="J38" s="23">
        <v>47.723038187159034</v>
      </c>
      <c r="K38" s="23">
        <v>12.608464514440959</v>
      </c>
      <c r="L38" s="23">
        <v>7</v>
      </c>
      <c r="M38" s="23">
        <v>6.817576883879862</v>
      </c>
      <c r="N38" s="23">
        <v>1.8012092163487083</v>
      </c>
    </row>
    <row r="39" spans="1:15" s="23" customFormat="1" ht="15">
      <c r="A39" s="22">
        <v>40318</v>
      </c>
      <c r="B39" s="23">
        <v>9</v>
      </c>
      <c r="C39" s="23">
        <v>30</v>
      </c>
      <c r="D39" s="23">
        <v>64</v>
      </c>
      <c r="E39" s="23">
        <v>608.92</v>
      </c>
      <c r="F39" s="23">
        <v>160.87714663143987</v>
      </c>
      <c r="O39" s="23" t="s">
        <v>78</v>
      </c>
    </row>
    <row r="40" spans="1:14" s="23" customFormat="1" ht="15">
      <c r="A40" s="22">
        <v>40319</v>
      </c>
      <c r="B40" s="23">
        <v>8</v>
      </c>
      <c r="C40" s="23">
        <v>0</v>
      </c>
      <c r="D40" s="23">
        <v>59</v>
      </c>
      <c r="E40" s="23">
        <v>556.27</v>
      </c>
      <c r="F40" s="23">
        <v>146.9669749009247</v>
      </c>
      <c r="G40" s="23">
        <v>52.64999999999998</v>
      </c>
      <c r="H40" s="23">
        <v>13.910171730515184</v>
      </c>
      <c r="I40" s="23">
        <v>22.5</v>
      </c>
      <c r="J40" s="23">
        <v>56.159999999999975</v>
      </c>
      <c r="K40" s="23">
        <v>14.83751651254953</v>
      </c>
      <c r="L40" s="23">
        <v>7</v>
      </c>
      <c r="M40" s="23">
        <v>8.02285714285714</v>
      </c>
      <c r="N40" s="23">
        <v>2.1196452160785046</v>
      </c>
    </row>
    <row r="41" spans="1:14" s="23" customFormat="1" ht="15">
      <c r="A41" s="22">
        <v>40320</v>
      </c>
      <c r="B41" s="23">
        <v>8</v>
      </c>
      <c r="C41" s="23">
        <v>15</v>
      </c>
      <c r="D41" s="23">
        <v>53</v>
      </c>
      <c r="E41" s="23">
        <v>493.0899999999999</v>
      </c>
      <c r="F41" s="23">
        <v>130.27476882430645</v>
      </c>
      <c r="G41" s="23">
        <v>63.180000000000064</v>
      </c>
      <c r="H41" s="23">
        <v>16.692206076618245</v>
      </c>
      <c r="I41" s="23">
        <v>24</v>
      </c>
      <c r="J41" s="23">
        <v>63.180000000000064</v>
      </c>
      <c r="K41" s="23">
        <v>16.692206076618245</v>
      </c>
      <c r="L41" s="23">
        <v>7</v>
      </c>
      <c r="M41" s="23">
        <v>9.025714285714296</v>
      </c>
      <c r="N41" s="23">
        <v>2.384600868088321</v>
      </c>
    </row>
    <row r="42" spans="1:14" s="28" customFormat="1" ht="15">
      <c r="A42" s="54">
        <v>40321</v>
      </c>
      <c r="B42" s="28">
        <v>8</v>
      </c>
      <c r="C42" s="28">
        <v>15</v>
      </c>
      <c r="D42" s="28">
        <v>49</v>
      </c>
      <c r="E42" s="28">
        <v>450.9699999999999</v>
      </c>
      <c r="F42" s="28">
        <v>119.14663143989429</v>
      </c>
      <c r="G42" s="28">
        <v>42.120000000000005</v>
      </c>
      <c r="H42" s="28">
        <v>11.128137384412154</v>
      </c>
      <c r="I42" s="28">
        <v>24</v>
      </c>
      <c r="J42" s="28">
        <v>42.120000000000005</v>
      </c>
      <c r="K42" s="28">
        <v>11.128137384412154</v>
      </c>
      <c r="L42" s="28">
        <v>7</v>
      </c>
      <c r="M42" s="28">
        <v>6.017142857142858</v>
      </c>
      <c r="N42" s="28">
        <v>1.5897339120588792</v>
      </c>
    </row>
    <row r="43" spans="1:14" s="25" customFormat="1" ht="15">
      <c r="A43" s="48">
        <v>40322</v>
      </c>
      <c r="B43" s="25">
        <v>7</v>
      </c>
      <c r="C43" s="25">
        <v>45</v>
      </c>
      <c r="D43" s="25">
        <v>43</v>
      </c>
      <c r="E43" s="25">
        <v>387.78999999999996</v>
      </c>
      <c r="F43" s="25">
        <v>102.45442536327607</v>
      </c>
      <c r="G43" s="25">
        <v>63.17999999999995</v>
      </c>
      <c r="H43" s="25">
        <v>16.692206076618216</v>
      </c>
      <c r="I43" s="25">
        <v>23.5</v>
      </c>
      <c r="J43" s="25">
        <v>64.52425531914888</v>
      </c>
      <c r="K43" s="25">
        <v>17.047359397397326</v>
      </c>
      <c r="L43" s="25">
        <v>6</v>
      </c>
      <c r="M43" s="25">
        <v>10.75404255319148</v>
      </c>
      <c r="N43" s="25">
        <v>2.8412265662328875</v>
      </c>
    </row>
    <row r="44" spans="1:14" s="25" customFormat="1" ht="15">
      <c r="A44" s="48">
        <v>40323</v>
      </c>
      <c r="B44" s="25">
        <v>8</v>
      </c>
      <c r="C44" s="25">
        <v>0</v>
      </c>
      <c r="D44" s="25">
        <v>39</v>
      </c>
      <c r="E44" s="25">
        <v>345.66999999999996</v>
      </c>
      <c r="F44" s="25">
        <v>91.32628797886392</v>
      </c>
      <c r="G44" s="25">
        <v>42.120000000000005</v>
      </c>
      <c r="H44" s="25">
        <v>11.128137384412154</v>
      </c>
      <c r="I44" s="25">
        <v>24.25</v>
      </c>
      <c r="J44" s="25">
        <v>41.685773195876294</v>
      </c>
      <c r="K44" s="25">
        <v>11.013414318593473</v>
      </c>
      <c r="L44" s="25">
        <v>6</v>
      </c>
      <c r="M44" s="25">
        <v>6.947628865979382</v>
      </c>
      <c r="N44" s="25">
        <v>1.835569053098912</v>
      </c>
    </row>
    <row r="45" spans="1:14" s="25" customFormat="1" ht="15">
      <c r="A45" s="48">
        <v>40324</v>
      </c>
      <c r="B45" s="25">
        <v>8</v>
      </c>
      <c r="C45" s="25">
        <v>0</v>
      </c>
      <c r="D45" s="25">
        <v>34</v>
      </c>
      <c r="E45" s="25">
        <v>293.02</v>
      </c>
      <c r="F45" s="25">
        <v>77.41611624834874</v>
      </c>
      <c r="G45" s="25">
        <v>52.64999999999998</v>
      </c>
      <c r="H45" s="25">
        <v>13.910171730515184</v>
      </c>
      <c r="I45" s="25">
        <v>24</v>
      </c>
      <c r="J45" s="25">
        <v>52.64999999999998</v>
      </c>
      <c r="K45" s="25">
        <v>13.910171730515184</v>
      </c>
      <c r="L45" s="25">
        <v>7</v>
      </c>
      <c r="M45" s="25">
        <v>7.521428571428568</v>
      </c>
      <c r="N45" s="25">
        <v>1.9871673900735978</v>
      </c>
    </row>
    <row r="46" spans="1:14" s="25" customFormat="1" ht="15">
      <c r="A46" s="48">
        <v>40325</v>
      </c>
      <c r="B46" s="25">
        <v>8</v>
      </c>
      <c r="C46" s="25">
        <v>15</v>
      </c>
      <c r="D46" s="25">
        <v>28</v>
      </c>
      <c r="E46" s="25">
        <v>229.83999999999997</v>
      </c>
      <c r="F46" s="25">
        <v>60.72391017173051</v>
      </c>
      <c r="G46" s="25">
        <v>63.18000000000001</v>
      </c>
      <c r="H46" s="25">
        <v>16.69220607661823</v>
      </c>
      <c r="I46" s="25">
        <v>24</v>
      </c>
      <c r="J46" s="25">
        <v>63.18000000000001</v>
      </c>
      <c r="K46" s="25">
        <v>16.69220607661823</v>
      </c>
      <c r="L46" s="25">
        <v>7</v>
      </c>
      <c r="M46" s="25">
        <v>9.025714285714287</v>
      </c>
      <c r="N46" s="25">
        <v>2.384600868088319</v>
      </c>
    </row>
    <row r="47" spans="1:15" s="25" customFormat="1" ht="15">
      <c r="A47" s="48">
        <v>40325</v>
      </c>
      <c r="B47" s="25">
        <v>19</v>
      </c>
      <c r="C47" s="25">
        <v>0</v>
      </c>
      <c r="D47" s="25">
        <v>63</v>
      </c>
      <c r="E47" s="25">
        <v>598.39</v>
      </c>
      <c r="F47" s="25">
        <v>158.09511228533685</v>
      </c>
      <c r="I47" s="25">
        <v>10.75</v>
      </c>
      <c r="L47" s="25">
        <v>8</v>
      </c>
      <c r="O47" s="25" t="s">
        <v>78</v>
      </c>
    </row>
    <row r="48" spans="1:14" s="50" customFormat="1" ht="15">
      <c r="A48" s="49">
        <v>40326</v>
      </c>
      <c r="B48" s="50">
        <v>8</v>
      </c>
      <c r="C48" s="50">
        <v>0</v>
      </c>
      <c r="D48" s="50">
        <v>60</v>
      </c>
      <c r="E48" s="51">
        <v>566.8</v>
      </c>
      <c r="F48" s="51">
        <v>149.74900924702771</v>
      </c>
      <c r="G48" s="52">
        <v>31.590000000000032</v>
      </c>
      <c r="H48" s="51">
        <v>8.346103038309122</v>
      </c>
      <c r="I48" s="50">
        <v>13</v>
      </c>
      <c r="J48" s="51">
        <v>58.32000000000006</v>
      </c>
      <c r="K48" s="51">
        <v>15.408190224570689</v>
      </c>
      <c r="L48" s="50">
        <v>8</v>
      </c>
      <c r="M48" s="51">
        <v>7.290000000000007</v>
      </c>
      <c r="N48" s="51">
        <v>1.926023778071336</v>
      </c>
    </row>
    <row r="49" spans="1:14" s="50" customFormat="1" ht="15">
      <c r="A49" s="50">
        <v>40327</v>
      </c>
      <c r="B49" s="50">
        <v>8</v>
      </c>
      <c r="C49" s="50">
        <v>0</v>
      </c>
      <c r="D49" s="50">
        <v>50</v>
      </c>
      <c r="E49" s="51">
        <v>461.5</v>
      </c>
      <c r="F49" s="51">
        <v>121.92866578599735</v>
      </c>
      <c r="G49" s="52">
        <v>105.29999999999995</v>
      </c>
      <c r="H49" s="51">
        <v>27.82034346103037</v>
      </c>
      <c r="I49" s="50">
        <v>24</v>
      </c>
      <c r="J49" s="51">
        <v>105.29999999999995</v>
      </c>
      <c r="K49" s="51">
        <v>27.82034346103037</v>
      </c>
      <c r="L49" s="50">
        <v>7</v>
      </c>
      <c r="M49" s="51">
        <v>15.042857142857136</v>
      </c>
      <c r="N49" s="51">
        <v>3.9743347801471955</v>
      </c>
    </row>
    <row r="50" spans="1:14" s="25" customFormat="1" ht="15">
      <c r="A50" s="48">
        <v>40328</v>
      </c>
      <c r="B50" s="25">
        <v>8</v>
      </c>
      <c r="C50" s="25">
        <v>0</v>
      </c>
      <c r="D50" s="25">
        <v>46</v>
      </c>
      <c r="E50" s="25">
        <v>419.38</v>
      </c>
      <c r="F50" s="25">
        <v>110.8005284015852</v>
      </c>
      <c r="G50" s="25">
        <v>42.120000000000005</v>
      </c>
      <c r="H50" s="25">
        <v>11.128137384412154</v>
      </c>
      <c r="I50" s="25">
        <v>24</v>
      </c>
      <c r="J50" s="25">
        <v>42.120000000000005</v>
      </c>
      <c r="K50" s="25">
        <v>11.128137384412154</v>
      </c>
      <c r="L50" s="25">
        <v>7</v>
      </c>
      <c r="M50" s="25">
        <v>6.017142857142858</v>
      </c>
      <c r="N50" s="25">
        <v>1.5897339120588792</v>
      </c>
    </row>
    <row r="51" spans="1:18" ht="1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5">
      <c r="A52" s="15"/>
      <c r="B52" s="16"/>
      <c r="C52" s="16"/>
      <c r="D52" s="16"/>
      <c r="E52" s="36">
        <v>630.9594999999999</v>
      </c>
      <c r="F52" s="16">
        <f>E52*0.264</f>
        <v>166.573308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5">
      <c r="A53" s="15"/>
      <c r="B53" s="16"/>
      <c r="C53" s="16"/>
      <c r="D53" s="16"/>
      <c r="E53" s="36" t="s">
        <v>159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jdwood</dc:creator>
  <cp:keywords/>
  <dc:description/>
  <cp:lastModifiedBy>Office 2004 Test Drive User</cp:lastModifiedBy>
  <dcterms:created xsi:type="dcterms:W3CDTF">2010-05-25T16:10:30Z</dcterms:created>
  <dcterms:modified xsi:type="dcterms:W3CDTF">2010-06-05T06:58:43Z</dcterms:modified>
  <cp:category/>
  <cp:version/>
  <cp:contentType/>
  <cp:contentStatus/>
</cp:coreProperties>
</file>