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08 09 10 calcs" sheetId="1" r:id="rId1"/>
    <sheet name="Instructions" sheetId="2" r:id="rId2"/>
    <sheet name="Water" sheetId="3" r:id="rId3"/>
    <sheet name="Sewage" sheetId="4" r:id="rId4"/>
    <sheet name="Energy" sheetId="5" r:id="rId5"/>
    <sheet name="Calibrations" sheetId="6" r:id="rId6"/>
    <sheet name="Graphs" sheetId="7" r:id="rId7"/>
  </sheets>
  <definedNames>
    <definedName name="Excel_BuiltIn_Print_Area_3_1">'Energy'!$A$1:$L$1</definedName>
    <definedName name="_xlnm.Print_Area" localSheetId="4">'Energy'!$A$1:$S$40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F40" authorId="0">
      <text>
        <r>
          <rPr>
            <sz val="11"/>
            <color indexed="8"/>
            <rFont val="Calibri"/>
            <family val="2"/>
          </rPr>
          <t xml:space="preserve">Calculated average of 5/23 and 5/25
</t>
        </r>
      </text>
    </comment>
  </commentList>
</comments>
</file>

<file path=xl/sharedStrings.xml><?xml version="1.0" encoding="utf-8"?>
<sst xmlns="http://schemas.openxmlformats.org/spreadsheetml/2006/main" count="330" uniqueCount="180">
  <si>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</si>
  <si>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</si>
  <si>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</si>
  <si>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</si>
  <si>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</si>
  <si>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</si>
  <si>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</si>
  <si>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</si>
  <si>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</si>
  <si>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</si>
  <si>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</si>
  <si>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</si>
  <si>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</si>
  <si>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</si>
  <si>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</si>
  <si>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</si>
  <si>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</si>
  <si>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z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</si>
  <si>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</si>
  <si>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</si>
  <si>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</si>
  <si>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</si>
  <si>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</si>
  <si>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</si>
  <si>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</si>
  <si>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</si>
  <si>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</si>
  <si>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>Daily water use per person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</si>
  <si>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</si>
  <si>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</si>
  <si>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</si>
  <si>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</si>
  <si>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</si>
  <si>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</si>
  <si>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</si>
  <si>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</si>
  <si>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</si>
  <si>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</si>
  <si>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</si>
  <si>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</si>
  <si>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</si>
  <si>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Refill at Port Townsend</t>
  </si>
  <si>
    <t>filled up at FHL</t>
  </si>
  <si>
    <t>Open House</t>
  </si>
  <si>
    <t>swim shower left on for ~5 hours so lost lots of water</t>
  </si>
  <si>
    <t>Filled up at Roche</t>
  </si>
  <si>
    <t>Sewage fluxes</t>
  </si>
  <si>
    <t>intercept</t>
  </si>
  <si>
    <t>liters</t>
  </si>
  <si>
    <t>Daily usage</t>
  </si>
  <si>
    <t>Pump out at Port Townsend</t>
  </si>
  <si>
    <t>used land heads</t>
  </si>
  <si>
    <t>estimated level (not accurate?)</t>
  </si>
  <si>
    <t>Pump out at Roche Harbor</t>
  </si>
  <si>
    <t>pumped out in Bellingham</t>
  </si>
  <si>
    <t>Pumped out at Roche Harbor at 10am</t>
  </si>
  <si>
    <t>It is crusty to 20 cm so I gestimated</t>
  </si>
  <si>
    <t>Pumped out at Roche</t>
  </si>
  <si>
    <t>crusty, estimated</t>
  </si>
  <si>
    <t>pumped out at FH</t>
  </si>
  <si>
    <t xml:space="preserve">pumped out @ Roche, got 2.5 gallons of gas for dinghy </t>
  </si>
  <si>
    <t>a little crusty</t>
  </si>
  <si>
    <t>ENERGY:</t>
  </si>
  <si>
    <t>diesel tank full</t>
  </si>
  <si>
    <t>Assumptions and conversion factors</t>
  </si>
  <si>
    <t>gal</t>
  </si>
  <si>
    <t>Voltage</t>
  </si>
  <si>
    <t>Volts</t>
  </si>
  <si>
    <t>Burn rate</t>
  </si>
  <si>
    <t>gal/hr</t>
  </si>
  <si>
    <t xml:space="preserve"> </t>
  </si>
  <si>
    <t>Total energy use</t>
  </si>
  <si>
    <t>Engine run time</t>
  </si>
  <si>
    <t>Charge</t>
  </si>
  <si>
    <t>Usage since last reading</t>
  </si>
  <si>
    <t>Total usage</t>
  </si>
  <si>
    <t>Total Remaining</t>
  </si>
  <si>
    <t>Trip</t>
  </si>
  <si>
    <t>Lifetime</t>
  </si>
  <si>
    <t>(hours)</t>
  </si>
  <si>
    <t>(Ah)</t>
  </si>
  <si>
    <t>(gal)</t>
  </si>
  <si>
    <t>(Ahc)</t>
  </si>
  <si>
    <t>Trip reset 4/20/10</t>
  </si>
  <si>
    <t>Data taken late, after Point Partrige</t>
  </si>
  <si>
    <t>Added 12 gallons of biodiesel</t>
  </si>
  <si>
    <t>Filled 20g of biodiesel</t>
  </si>
  <si>
    <t>Todd fixed the burning smell : )</t>
  </si>
  <si>
    <t>We added 23 galons</t>
  </si>
  <si>
    <t>We reboarded today and added 24 gal. Of biodesal</t>
  </si>
  <si>
    <t>Added 21.5 gallons of diesel</t>
  </si>
  <si>
    <t>Re-calculated Charge (Ah) for 5/25/10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</si>
  <si>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</si>
  <si>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</si>
  <si>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</si>
  <si>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</si>
  <si>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</si>
  <si>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</si>
  <si>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</si>
  <si>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</si>
  <si>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</si>
  <si>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</si>
  <si>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</si>
  <si>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</si>
  <si>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</si>
  <si>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</si>
  <si>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</si>
  <si>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</si>
  <si>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</si>
  <si>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</si>
  <si>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</si>
  <si>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</si>
  <si>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</si>
  <si>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</si>
  <si>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</si>
  <si>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</si>
  <si>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</si>
  <si>
    <t>Spring 2008</t>
  </si>
  <si>
    <t>Spring 2009</t>
  </si>
  <si>
    <t>Spring 2010</t>
  </si>
  <si>
    <t>Fresh water</t>
  </si>
  <si>
    <t>week</t>
  </si>
  <si>
    <t>avg gal per person per day</t>
  </si>
  <si>
    <t>Total fresh water used (gal)</t>
  </si>
  <si>
    <t>Avg per person per day for entire cruise</t>
  </si>
  <si>
    <t>Avg per day for entire cruise</t>
  </si>
  <si>
    <t>Sewage</t>
  </si>
  <si>
    <t>Total sewage generated (gal)</t>
  </si>
  <si>
    <t>Biodiesel</t>
  </si>
  <si>
    <t>gallons used per week</t>
  </si>
  <si>
    <t>Total biodiesel used (gal)</t>
  </si>
  <si>
    <t>dates</t>
  </si>
  <si>
    <t>Ave. gal for propulsion</t>
  </si>
  <si>
    <t>Ave. gal for house bank</t>
  </si>
  <si>
    <t>4/20-4/26</t>
  </si>
  <si>
    <t>aver per day</t>
  </si>
  <si>
    <t>4/27-5/03</t>
  </si>
  <si>
    <t>5/10-5/14</t>
  </si>
  <si>
    <t>total kWh</t>
  </si>
  <si>
    <t>total kWh/gal</t>
  </si>
  <si>
    <t>total kWh (includes extrapolation(which tends to be low) from 5/21 to 5/31)</t>
  </si>
  <si>
    <t>total gal for propulsion from 4/20-5/14</t>
  </si>
  <si>
    <t>total gal for house bank from 4/20-5/14</t>
  </si>
  <si>
    <t>Using the 2010 systems log data, calculate the following:</t>
  </si>
  <si>
    <t>Fresh Water</t>
  </si>
  <si>
    <t>Calculate total fresh water used</t>
  </si>
  <si>
    <t>Gal/person/day for each week</t>
  </si>
  <si>
    <t>plot the results</t>
  </si>
  <si>
    <t>compare with 2008-2009 data and suggest how we might improve upon our water usage</t>
  </si>
  <si>
    <t>Calculate total sewage generated</t>
  </si>
  <si>
    <t>Suggest ways we can improve upon this or mitigate our impact</t>
  </si>
  <si>
    <t>Calculate total biodiesel used</t>
  </si>
  <si>
    <t>Calculate biodiesel used per week and per day and compare to 2008-2009</t>
  </si>
  <si>
    <t>Calculate total kWh and kWh/gal</t>
  </si>
  <si>
    <t>Calculate how many gal were used for propulsion vs house bank</t>
  </si>
  <si>
    <t>Suggest ways we coud improve/mitigate our biodiesel use</t>
  </si>
  <si>
    <t>Total</t>
  </si>
  <si>
    <t>Week 2</t>
  </si>
  <si>
    <t>Week 3</t>
  </si>
  <si>
    <t>Week 4</t>
  </si>
  <si>
    <t>Week 5</t>
  </si>
  <si>
    <t>Avg ppl</t>
  </si>
  <si>
    <t>Totals</t>
  </si>
  <si>
    <t>Total time</t>
  </si>
  <si>
    <t>hr</t>
  </si>
  <si>
    <t>charge change</t>
  </si>
  <si>
    <t>amp hrs</t>
  </si>
  <si>
    <t>J/sec</t>
  </si>
  <si>
    <t>kilowatts</t>
  </si>
  <si>
    <t>kwhrs</t>
  </si>
  <si>
    <t>kwhrs/gal</t>
  </si>
  <si>
    <t>J/kwhr</t>
  </si>
  <si>
    <t>housebank</t>
  </si>
  <si>
    <t>amps</t>
  </si>
  <si>
    <t>watts</t>
  </si>
  <si>
    <t>kilowatt hrs</t>
  </si>
  <si>
    <t>gallons</t>
  </si>
  <si>
    <t>tot kwh</t>
  </si>
  <si>
    <t>total gal for house bank</t>
  </si>
  <si>
    <t>total gal for propulsion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</si>
</sst>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hh:mm"/>
    <numFmt numFmtId="168" formatCode="mm/dd/yy"/>
    <numFmt numFmtId="169" formatCode="00"/>
    <numFmt numFmtId="170" formatCode="hh:mm:ss\ AM/PM"/>
    <numFmt numFmtId="171" formatCode="hh:mm\ AM/PM"/>
    <numFmt numFmtId="172" formatCode="m/d/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7.35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4" borderId="0" xfId="0" applyFill="1" applyAlignment="1">
      <alignment/>
    </xf>
    <xf numFmtId="0" fontId="16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0" fillId="25" borderId="0" xfId="0" applyFill="1" applyAlignment="1">
      <alignment/>
    </xf>
    <xf numFmtId="0" fontId="16" fillId="24" borderId="0" xfId="0" applyFont="1" applyFill="1" applyAlignment="1">
      <alignment wrapText="1"/>
    </xf>
    <xf numFmtId="0" fontId="1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24" borderId="12" xfId="0" applyFill="1" applyBorder="1" applyAlignment="1">
      <alignment/>
    </xf>
    <xf numFmtId="0" fontId="18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24" borderId="15" xfId="0" applyFill="1" applyBorder="1" applyAlignment="1">
      <alignment/>
    </xf>
    <xf numFmtId="164" fontId="0" fillId="24" borderId="16" xfId="0" applyNumberForma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165" fontId="0" fillId="24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24" borderId="16" xfId="0" applyFill="1" applyBorder="1" applyAlignment="1">
      <alignment/>
    </xf>
    <xf numFmtId="166" fontId="0" fillId="24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24" borderId="0" xfId="0" applyNumberFormat="1" applyFill="1" applyAlignment="1">
      <alignment/>
    </xf>
    <xf numFmtId="0" fontId="0" fillId="24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6" fillId="0" borderId="0" xfId="0" applyFont="1" applyAlignment="1">
      <alignment horizontal="center" textRotation="90" wrapText="1"/>
    </xf>
    <xf numFmtId="0" fontId="19" fillId="24" borderId="0" xfId="0" applyFont="1" applyFill="1" applyAlignment="1">
      <alignment horizontal="center" textRotation="90" wrapText="1"/>
    </xf>
    <xf numFmtId="0" fontId="16" fillId="0" borderId="0" xfId="0" applyFont="1" applyAlignment="1">
      <alignment horizontal="center"/>
    </xf>
    <xf numFmtId="167" fontId="16" fillId="2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wrapText="1"/>
    </xf>
    <xf numFmtId="168" fontId="0" fillId="24" borderId="0" xfId="0" applyNumberFormat="1" applyFill="1" applyAlignment="1">
      <alignment/>
    </xf>
    <xf numFmtId="169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165" fontId="0" fillId="0" borderId="0" xfId="0" applyNumberFormat="1" applyAlignment="1">
      <alignment/>
    </xf>
    <xf numFmtId="2" fontId="20" fillId="2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24" borderId="0" xfId="0" applyNumberForma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6" fillId="25" borderId="0" xfId="0" applyFont="1" applyFill="1" applyAlignment="1">
      <alignment/>
    </xf>
    <xf numFmtId="0" fontId="16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24" borderId="16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14" fontId="0" fillId="24" borderId="0" xfId="0" applyNumberFormat="1" applyFill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24" borderId="0" xfId="0" applyFill="1" applyAlignment="1">
      <alignment horizontal="left"/>
    </xf>
    <xf numFmtId="0" fontId="16" fillId="0" borderId="0" xfId="0" applyFont="1" applyBorder="1" applyAlignment="1">
      <alignment horizontal="left"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2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 horizontal="left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0" fillId="37" borderId="0" xfId="0" applyNumberFormat="1" applyFill="1" applyAlignment="1">
      <alignment/>
    </xf>
    <xf numFmtId="0" fontId="0" fillId="28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Water Usage 08-10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calcs'!$C$4:$C$8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calcs'!$G$4:$G$8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calcs'!$L$4:$L$8</c:f>
              <c:numCache/>
            </c:numRef>
          </c:val>
        </c:ser>
        <c:axId val="25856409"/>
        <c:axId val="31381090"/>
      </c:barChart>
      <c:catAx>
        <c:axId val="25856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Gallons/Person/Day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56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Sewage Production 08-10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calcs'!$C$20:$C$24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calcs'!$G$20:$G$24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calcs'!$L$20:$L$24</c:f>
              <c:numCache/>
            </c:numRef>
          </c:val>
        </c:ser>
        <c:axId val="13994355"/>
        <c:axId val="58840332"/>
      </c:barChart>
      <c:catAx>
        <c:axId val="1399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Gallons/Person/Day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Weekly Biodiesel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calcs'!$C$37:$C$41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calcs'!$G$37:$G$41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calcs'!$L$37:$L$41</c:f>
              <c:numCache/>
            </c:numRef>
          </c:val>
        </c:ser>
        <c:axId val="59800941"/>
        <c:axId val="1337558"/>
      </c:barChart>
      <c:catAx>
        <c:axId val="5980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Gallons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Water Usage 08-10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calcs'!$C$4:$C$8</c:f>
              <c:numCache>
                <c:ptCount val="5"/>
                <c:pt idx="0">
                  <c:v>4.886625263771895</c:v>
                </c:pt>
                <c:pt idx="1">
                  <c:v>4.323465870911742</c:v>
                </c:pt>
                <c:pt idx="2">
                  <c:v>4.467518500959326</c:v>
                </c:pt>
                <c:pt idx="3">
                  <c:v>4.756277086533872</c:v>
                </c:pt>
                <c:pt idx="4">
                  <c:v>4.679481231585468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calcs'!$G$4:$G$8</c:f>
              <c:numCache>
                <c:ptCount val="5"/>
                <c:pt idx="0">
                  <c:v>2.5742080537499885</c:v>
                </c:pt>
                <c:pt idx="1">
                  <c:v>3.8345348178901673</c:v>
                </c:pt>
                <c:pt idx="2">
                  <c:v>2.5833861035974635</c:v>
                </c:pt>
                <c:pt idx="3">
                  <c:v>2.8813105333325204</c:v>
                </c:pt>
                <c:pt idx="4">
                  <c:v>3.287483764972303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'08 09 10 calcs'!$L$4:$L$8</c:f>
              <c:numCache>
                <c:ptCount val="5"/>
                <c:pt idx="0">
                  <c:v>2.33</c:v>
                </c:pt>
                <c:pt idx="1">
                  <c:v>2.21</c:v>
                </c:pt>
                <c:pt idx="2">
                  <c:v>1.94</c:v>
                </c:pt>
                <c:pt idx="3">
                  <c:v>2.77</c:v>
                </c:pt>
                <c:pt idx="4">
                  <c:v>2.36</c:v>
                </c:pt>
              </c:numCache>
            </c:numRef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Average Gallons/Person/Day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Calibrations!$C$25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35555777"/>
        <c:axId val="51566538"/>
      </c:scatterChart>
      <c:val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 val="autoZero"/>
        <c:crossBetween val="midCat"/>
        <c:dispUnits/>
      </c:valAx>
      <c:valAx>
        <c:axId val="51566538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61445659"/>
        <c:axId val="16140020"/>
      </c:scatterChart>
      <c:valAx>
        <c:axId val="6144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40020"/>
        <c:crosses val="autoZero"/>
        <c:crossBetween val="midCat"/>
        <c:dispUnits/>
      </c:valAx>
      <c:valAx>
        <c:axId val="1614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45659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Water!$M$7</c:f>
              <c:strCache>
                <c:ptCount val="1"/>
                <c:pt idx="0">
                  <c:v>Daily water use per person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Water!$A$11:$A$101</c:f>
              <c:strCache>
                <c:ptCount val="91"/>
                <c:pt idx="0">
                  <c:v>40287</c:v>
                </c:pt>
                <c:pt idx="1">
                  <c:v>40288</c:v>
                </c:pt>
                <c:pt idx="2">
                  <c:v>40289</c:v>
                </c:pt>
                <c:pt idx="3">
                  <c:v>40289</c:v>
                </c:pt>
                <c:pt idx="4">
                  <c:v>40290</c:v>
                </c:pt>
                <c:pt idx="5">
                  <c:v>40291</c:v>
                </c:pt>
                <c:pt idx="6">
                  <c:v>40292</c:v>
                </c:pt>
                <c:pt idx="7">
                  <c:v>40293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40314</c:v>
                </c:pt>
                <c:pt idx="23">
                  <c:v>40315</c:v>
                </c:pt>
                <c:pt idx="24">
                  <c:v>40316</c:v>
                </c:pt>
                <c:pt idx="25">
                  <c:v>40317</c:v>
                </c:pt>
                <c:pt idx="26">
                  <c:v>40318</c:v>
                </c:pt>
                <c:pt idx="27">
                  <c:v>40318</c:v>
                </c:pt>
                <c:pt idx="28">
                  <c:v>40319</c:v>
                </c:pt>
                <c:pt idx="29">
                  <c:v>40320</c:v>
                </c:pt>
                <c:pt idx="30">
                  <c:v>40321</c:v>
                </c:pt>
                <c:pt idx="31">
                  <c:v>40322</c:v>
                </c:pt>
                <c:pt idx="32">
                  <c:v>40323</c:v>
                </c:pt>
                <c:pt idx="33">
                  <c:v>40324</c:v>
                </c:pt>
                <c:pt idx="34">
                  <c:v>40325</c:v>
                </c:pt>
                <c:pt idx="35">
                  <c:v>40325</c:v>
                </c:pt>
                <c:pt idx="36">
                  <c:v>40326</c:v>
                </c:pt>
                <c:pt idx="37">
                  <c:v>40327</c:v>
                </c:pt>
                <c:pt idx="38">
                  <c:v>40328</c:v>
                </c:pt>
              </c:strCache>
            </c:strRef>
          </c:xVal>
          <c:yVal>
            <c:numRef>
              <c:f>Water!$M$11:$M$101</c:f>
              <c:numCache>
                <c:ptCount val="91"/>
                <c:pt idx="0">
                  <c:v>7.600601503759399</c:v>
                </c:pt>
                <c:pt idx="1">
                  <c:v>10.210909090909096</c:v>
                </c:pt>
                <c:pt idx="2">
                  <c:v>5.955110456553756</c:v>
                </c:pt>
                <c:pt idx="4">
                  <c:v>10.530000000000005</c:v>
                </c:pt>
                <c:pt idx="5">
                  <c:v>7.246451612903226</c:v>
                </c:pt>
                <c:pt idx="6">
                  <c:v>11.282142857142853</c:v>
                </c:pt>
                <c:pt idx="7">
                  <c:v>9.025714285714287</c:v>
                </c:pt>
                <c:pt idx="9">
                  <c:v>7.0200000000000005</c:v>
                </c:pt>
                <c:pt idx="10">
                  <c:v>8.774999999999997</c:v>
                </c:pt>
                <c:pt idx="11">
                  <c:v>7.16936170212766</c:v>
                </c:pt>
                <c:pt idx="12">
                  <c:v>6.947628865979382</c:v>
                </c:pt>
                <c:pt idx="13">
                  <c:v>9.754105263157898</c:v>
                </c:pt>
                <c:pt idx="14">
                  <c:v>10.529999999999998</c:v>
                </c:pt>
                <c:pt idx="15">
                  <c:v>8.273571428571431</c:v>
                </c:pt>
                <c:pt idx="16">
                  <c:v>6.08048120300752</c:v>
                </c:pt>
                <c:pt idx="17">
                  <c:v>6.961983471074376</c:v>
                </c:pt>
                <c:pt idx="19">
                  <c:v>6.207157894736845</c:v>
                </c:pt>
                <c:pt idx="20">
                  <c:v>7.0200000000000005</c:v>
                </c:pt>
                <c:pt idx="21">
                  <c:v>9.455510204081646</c:v>
                </c:pt>
                <c:pt idx="23">
                  <c:v>3.008571428571421</c:v>
                </c:pt>
                <c:pt idx="24">
                  <c:v>32.26212765957446</c:v>
                </c:pt>
                <c:pt idx="25">
                  <c:v>8.273571428571431</c:v>
                </c:pt>
                <c:pt idx="26">
                  <c:v>6.817576883879862</c:v>
                </c:pt>
                <c:pt idx="28">
                  <c:v>8.02285714285714</c:v>
                </c:pt>
                <c:pt idx="29">
                  <c:v>9.025714285714296</c:v>
                </c:pt>
                <c:pt idx="30">
                  <c:v>6.017142857142858</c:v>
                </c:pt>
                <c:pt idx="31">
                  <c:v>10.75404255319148</c:v>
                </c:pt>
                <c:pt idx="32">
                  <c:v>6.947628865979382</c:v>
                </c:pt>
                <c:pt idx="33">
                  <c:v>7.521428571428568</c:v>
                </c:pt>
                <c:pt idx="34">
                  <c:v>9.025714285714287</c:v>
                </c:pt>
                <c:pt idx="36">
                  <c:v>7.290000000000007</c:v>
                </c:pt>
                <c:pt idx="37">
                  <c:v>15.042857142857136</c:v>
                </c:pt>
                <c:pt idx="38">
                  <c:v>6.061340128916205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Sewage!$M$7</c:f>
              <c:strCache>
                <c:ptCount val="1"/>
                <c:pt idx="0">
                  <c:v>Daily per person use 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strRef>
              <c:f>Sewage!$A$11:$A$102</c:f>
              <c:strCache>
                <c:ptCount val="92"/>
                <c:pt idx="0">
                  <c:v>40287</c:v>
                </c:pt>
                <c:pt idx="1">
                  <c:v>40288</c:v>
                </c:pt>
                <c:pt idx="2">
                  <c:v>40289</c:v>
                </c:pt>
                <c:pt idx="3">
                  <c:v>40290</c:v>
                </c:pt>
                <c:pt idx="4">
                  <c:v>40291</c:v>
                </c:pt>
                <c:pt idx="5">
                  <c:v>40292</c:v>
                </c:pt>
                <c:pt idx="6">
                  <c:v>40292</c:v>
                </c:pt>
                <c:pt idx="7">
                  <c:v>40293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40303</c:v>
                </c:pt>
                <c:pt idx="16">
                  <c:v>40304</c:v>
                </c:pt>
                <c:pt idx="17">
                  <c:v>40305</c:v>
                </c:pt>
                <c:pt idx="18">
                  <c:v>40306</c:v>
                </c:pt>
                <c:pt idx="19">
                  <c:v>40307</c:v>
                </c:pt>
                <c:pt idx="20">
                  <c:v>40307</c:v>
                </c:pt>
                <c:pt idx="21">
                  <c:v>40308</c:v>
                </c:pt>
                <c:pt idx="22">
                  <c:v>40309</c:v>
                </c:pt>
                <c:pt idx="23">
                  <c:v>40310</c:v>
                </c:pt>
                <c:pt idx="24">
                  <c:v>40313</c:v>
                </c:pt>
                <c:pt idx="25">
                  <c:v>40314</c:v>
                </c:pt>
                <c:pt idx="26">
                  <c:v>40315</c:v>
                </c:pt>
                <c:pt idx="27">
                  <c:v>40316</c:v>
                </c:pt>
                <c:pt idx="28">
                  <c:v>40317</c:v>
                </c:pt>
                <c:pt idx="29">
                  <c:v>40318</c:v>
                </c:pt>
                <c:pt idx="30">
                  <c:v>40318</c:v>
                </c:pt>
                <c:pt idx="31">
                  <c:v>40319</c:v>
                </c:pt>
                <c:pt idx="32">
                  <c:v>40320</c:v>
                </c:pt>
                <c:pt idx="33">
                  <c:v>40321</c:v>
                </c:pt>
                <c:pt idx="34">
                  <c:v>40321</c:v>
                </c:pt>
                <c:pt idx="35">
                  <c:v>40322</c:v>
                </c:pt>
                <c:pt idx="36">
                  <c:v>40323</c:v>
                </c:pt>
                <c:pt idx="37">
                  <c:v>40323</c:v>
                </c:pt>
                <c:pt idx="38">
                  <c:v>40324</c:v>
                </c:pt>
                <c:pt idx="39">
                  <c:v>40325</c:v>
                </c:pt>
                <c:pt idx="40">
                  <c:v>40325</c:v>
                </c:pt>
                <c:pt idx="41">
                  <c:v>40325</c:v>
                </c:pt>
                <c:pt idx="42">
                  <c:v>40326</c:v>
                </c:pt>
                <c:pt idx="43">
                  <c:v>40327</c:v>
                </c:pt>
                <c:pt idx="44">
                  <c:v>40328</c:v>
                </c:pt>
              </c:strCache>
            </c:strRef>
          </c:xVal>
          <c:yVal>
            <c:numRef>
              <c:f>Sewage!$M$11:$M$102</c:f>
              <c:numCache>
                <c:ptCount val="92"/>
                <c:pt idx="0">
                  <c:v>5.5323529411764705</c:v>
                </c:pt>
                <c:pt idx="1">
                  <c:v>4.299428571428571</c:v>
                </c:pt>
                <c:pt idx="3">
                  <c:v>1.119642857142857</c:v>
                </c:pt>
                <c:pt idx="4">
                  <c:v>2.0225806451612907</c:v>
                </c:pt>
                <c:pt idx="5">
                  <c:v>8.957142857142856</c:v>
                </c:pt>
                <c:pt idx="7">
                  <c:v>3.732142857142857</c:v>
                </c:pt>
                <c:pt idx="9">
                  <c:v>2.6125</c:v>
                </c:pt>
                <c:pt idx="10">
                  <c:v>1.3062500000000001</c:v>
                </c:pt>
                <c:pt idx="11">
                  <c:v>2.668085106382979</c:v>
                </c:pt>
                <c:pt idx="12">
                  <c:v>5.171134020618556</c:v>
                </c:pt>
                <c:pt idx="13">
                  <c:v>5.279999999999999</c:v>
                </c:pt>
                <c:pt idx="16">
                  <c:v>12.918956043956042</c:v>
                </c:pt>
                <c:pt idx="17">
                  <c:v>4.525714285714285</c:v>
                </c:pt>
                <c:pt idx="18">
                  <c:v>3.110119047619048</c:v>
                </c:pt>
                <c:pt idx="19">
                  <c:v>1.9800000000000013</c:v>
                </c:pt>
                <c:pt idx="21">
                  <c:v>3.5304054054054057</c:v>
                </c:pt>
                <c:pt idx="22">
                  <c:v>3.265625</c:v>
                </c:pt>
                <c:pt idx="23">
                  <c:v>6.397959183673469</c:v>
                </c:pt>
                <c:pt idx="25">
                  <c:v>1.5963224893917964</c:v>
                </c:pt>
                <c:pt idx="26">
                  <c:v>3.5357142857142856</c:v>
                </c:pt>
                <c:pt idx="27">
                  <c:v>1.6971428571428568</c:v>
                </c:pt>
                <c:pt idx="28">
                  <c:v>2.239285714285714</c:v>
                </c:pt>
                <c:pt idx="29">
                  <c:v>6.201966308974282</c:v>
                </c:pt>
                <c:pt idx="31">
                  <c:v>4.777142857142857</c:v>
                </c:pt>
                <c:pt idx="32">
                  <c:v>6.717857142857143</c:v>
                </c:pt>
                <c:pt idx="33">
                  <c:v>2.799107142857143</c:v>
                </c:pt>
                <c:pt idx="35">
                  <c:v>6.8901098901098905</c:v>
                </c:pt>
                <c:pt idx="36">
                  <c:v>5.171134020618556</c:v>
                </c:pt>
                <c:pt idx="38">
                  <c:v>3.1245847176079735</c:v>
                </c:pt>
                <c:pt idx="39">
                  <c:v>11.756249999999998</c:v>
                </c:pt>
                <c:pt idx="40">
                  <c:v>9.84244186046512</c:v>
                </c:pt>
                <c:pt idx="42">
                  <c:v>4.521634615384616</c:v>
                </c:pt>
                <c:pt idx="43">
                  <c:v>11.196428571428571</c:v>
                </c:pt>
                <c:pt idx="44">
                  <c:v>1.6918003297856388</c:v>
                </c:pt>
              </c:numCache>
            </c:numRef>
          </c:yVal>
          <c:smooth val="0"/>
        </c:ser>
        <c:axId val="11042453"/>
        <c:axId val="32273214"/>
      </c:scatterChart>
      <c:val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/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73214"/>
        <c:crosses val="autoZero"/>
        <c:crossBetween val="midCat"/>
        <c:dispUnits/>
      </c:valAx>
      <c:valAx>
        <c:axId val="32273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4245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62</xdr:row>
      <xdr:rowOff>161925</xdr:rowOff>
    </xdr:from>
    <xdr:to>
      <xdr:col>7</xdr:col>
      <xdr:colOff>857250</xdr:colOff>
      <xdr:row>78</xdr:row>
      <xdr:rowOff>123825</xdr:rowOff>
    </xdr:to>
    <xdr:graphicFrame>
      <xdr:nvGraphicFramePr>
        <xdr:cNvPr id="1" name="Chart 1"/>
        <xdr:cNvGraphicFramePr/>
      </xdr:nvGraphicFramePr>
      <xdr:xfrm>
        <a:off x="647700" y="11972925"/>
        <a:ext cx="6515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80</xdr:row>
      <xdr:rowOff>95250</xdr:rowOff>
    </xdr:from>
    <xdr:to>
      <xdr:col>7</xdr:col>
      <xdr:colOff>895350</xdr:colOff>
      <xdr:row>96</xdr:row>
      <xdr:rowOff>57150</xdr:rowOff>
    </xdr:to>
    <xdr:graphicFrame>
      <xdr:nvGraphicFramePr>
        <xdr:cNvPr id="2" name="Chart 2"/>
        <xdr:cNvGraphicFramePr/>
      </xdr:nvGraphicFramePr>
      <xdr:xfrm>
        <a:off x="685800" y="15335250"/>
        <a:ext cx="65151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97</xdr:row>
      <xdr:rowOff>57150</xdr:rowOff>
    </xdr:from>
    <xdr:to>
      <xdr:col>7</xdr:col>
      <xdr:colOff>923925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714375" y="18535650"/>
        <a:ext cx="65151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12</xdr:col>
      <xdr:colOff>457200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1400175" y="12411075"/>
        <a:ext cx="5886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161925</xdr:rowOff>
    </xdr:from>
    <xdr:to>
      <xdr:col>11</xdr:col>
      <xdr:colOff>257175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86175" y="4543425"/>
        <a:ext cx="39814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0</xdr:row>
      <xdr:rowOff>152400</xdr:rowOff>
    </xdr:from>
    <xdr:to>
      <xdr:col>13</xdr:col>
      <xdr:colOff>171450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72200" y="152400"/>
        <a:ext cx="25717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638175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62000" y="190500"/>
        <a:ext cx="3686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tabSelected="1" zoomScale="90" zoomScaleNormal="90" zoomScaleSheetLayoutView="110" workbookViewId="0" topLeftCell="A88">
      <selection activeCell="I58" sqref="I58"/>
    </sheetView>
  </sheetViews>
  <sheetFormatPr defaultColWidth="9.140625" defaultRowHeight="15"/>
  <cols>
    <col min="1" max="2" width="9.140625" style="79" customWidth="1"/>
    <col min="3" max="3" width="24.421875" style="79" bestFit="1" customWidth="1"/>
    <col min="4" max="6" width="9.140625" style="79" customWidth="1"/>
    <col min="7" max="7" width="24.421875" style="79" bestFit="1" customWidth="1"/>
    <col min="8" max="8" width="22.00390625" style="79" bestFit="1" customWidth="1"/>
    <col min="9" max="11" width="9.140625" style="79" customWidth="1"/>
    <col min="12" max="12" width="24.421875" style="79" bestFit="1" customWidth="1"/>
    <col min="13" max="16384" width="9.140625" style="79" customWidth="1"/>
  </cols>
  <sheetData>
    <row r="1" spans="2:11" ht="15">
      <c r="B1" s="79" t="s">
        <v>117</v>
      </c>
      <c r="F1" s="79" t="s">
        <v>118</v>
      </c>
      <c r="K1" s="79" t="s">
        <v>119</v>
      </c>
    </row>
    <row r="2" spans="2:11" ht="15">
      <c r="B2" s="79" t="s">
        <v>120</v>
      </c>
      <c r="F2" s="79" t="s">
        <v>120</v>
      </c>
      <c r="K2" s="79" t="s">
        <v>120</v>
      </c>
    </row>
    <row r="3" spans="2:12" ht="15">
      <c r="B3" s="80" t="s">
        <v>121</v>
      </c>
      <c r="C3" s="80" t="s">
        <v>122</v>
      </c>
      <c r="F3" s="80" t="s">
        <v>121</v>
      </c>
      <c r="G3" s="80" t="s">
        <v>122</v>
      </c>
      <c r="K3" s="80" t="s">
        <v>121</v>
      </c>
      <c r="L3" s="80" t="s">
        <v>122</v>
      </c>
    </row>
    <row r="4" spans="2:12" ht="15">
      <c r="B4" s="80">
        <v>1</v>
      </c>
      <c r="C4" s="81">
        <v>4.886625263771895</v>
      </c>
      <c r="F4" s="80">
        <v>1</v>
      </c>
      <c r="G4" s="81">
        <v>2.5742080537499885</v>
      </c>
      <c r="K4" s="80">
        <v>1</v>
      </c>
      <c r="L4" s="81">
        <v>2.33</v>
      </c>
    </row>
    <row r="5" spans="2:12" ht="15">
      <c r="B5" s="80">
        <v>2</v>
      </c>
      <c r="C5" s="81">
        <v>4.323465870911742</v>
      </c>
      <c r="F5" s="80">
        <v>2</v>
      </c>
      <c r="G5" s="81">
        <v>3.8345348178901673</v>
      </c>
      <c r="K5" s="80">
        <v>2</v>
      </c>
      <c r="L5" s="81">
        <v>2.21</v>
      </c>
    </row>
    <row r="6" spans="2:12" ht="15">
      <c r="B6" s="80">
        <v>3</v>
      </c>
      <c r="C6" s="81">
        <v>4.467518500959326</v>
      </c>
      <c r="F6" s="80">
        <v>3</v>
      </c>
      <c r="G6" s="81">
        <v>2.5833861035974635</v>
      </c>
      <c r="K6" s="80">
        <v>3</v>
      </c>
      <c r="L6" s="81">
        <v>1.94</v>
      </c>
    </row>
    <row r="7" spans="2:12" ht="15">
      <c r="B7" s="80">
        <v>4</v>
      </c>
      <c r="C7" s="81">
        <v>4.756277086533872</v>
      </c>
      <c r="F7" s="80">
        <v>4</v>
      </c>
      <c r="G7" s="81">
        <v>2.8813105333325204</v>
      </c>
      <c r="K7" s="80">
        <v>4</v>
      </c>
      <c r="L7" s="81">
        <v>2.77</v>
      </c>
    </row>
    <row r="8" spans="2:12" ht="15">
      <c r="B8" s="80">
        <v>5</v>
      </c>
      <c r="C8" s="81">
        <v>4.679481231585468</v>
      </c>
      <c r="F8" s="80">
        <v>5</v>
      </c>
      <c r="G8" s="81">
        <v>3.287483764972303</v>
      </c>
      <c r="K8" s="80">
        <v>5</v>
      </c>
      <c r="L8" s="81">
        <v>2.36</v>
      </c>
    </row>
    <row r="10" spans="2:11" ht="15">
      <c r="B10" s="79" t="s">
        <v>123</v>
      </c>
      <c r="F10" s="79" t="s">
        <v>123</v>
      </c>
      <c r="K10" s="79" t="s">
        <v>123</v>
      </c>
    </row>
    <row r="11" spans="2:11" ht="15">
      <c r="B11" s="82">
        <v>982.0581241743722</v>
      </c>
      <c r="F11" s="82">
        <v>826.1426684280049</v>
      </c>
      <c r="K11" s="82">
        <v>504.9</v>
      </c>
    </row>
    <row r="12" spans="2:11" ht="15">
      <c r="B12" s="79" t="s">
        <v>124</v>
      </c>
      <c r="F12" s="79" t="s">
        <v>124</v>
      </c>
      <c r="K12" s="79" t="s">
        <v>124</v>
      </c>
    </row>
    <row r="13" spans="2:11" ht="15">
      <c r="B13" s="82">
        <v>4.679481231585468</v>
      </c>
      <c r="F13" s="82">
        <v>3.0178727613808394</v>
      </c>
      <c r="K13">
        <f>AVERAGE(L4:L8)</f>
        <v>2.322</v>
      </c>
    </row>
    <row r="14" spans="2:11" ht="15">
      <c r="B14" s="79" t="s">
        <v>125</v>
      </c>
      <c r="F14" s="79" t="s">
        <v>125</v>
      </c>
      <c r="K14" s="79" t="s">
        <v>125</v>
      </c>
    </row>
    <row r="15" spans="2:11" ht="15">
      <c r="B15" s="82">
        <v>28.058803547839204</v>
      </c>
      <c r="F15" s="82">
        <v>22.94840745633347</v>
      </c>
      <c r="K15" s="82">
        <f>K11/35</f>
        <v>14.425714285714285</v>
      </c>
    </row>
    <row r="18" spans="2:11" ht="15">
      <c r="B18" s="79" t="s">
        <v>126</v>
      </c>
      <c r="F18" s="79" t="s">
        <v>126</v>
      </c>
      <c r="K18" s="79" t="s">
        <v>126</v>
      </c>
    </row>
    <row r="19" spans="2:12" ht="15">
      <c r="B19" s="80" t="s">
        <v>121</v>
      </c>
      <c r="C19" s="80" t="s">
        <v>122</v>
      </c>
      <c r="F19" s="80" t="s">
        <v>121</v>
      </c>
      <c r="G19" s="80" t="s">
        <v>122</v>
      </c>
      <c r="K19" s="80" t="s">
        <v>121</v>
      </c>
      <c r="L19" s="80" t="s">
        <v>122</v>
      </c>
    </row>
    <row r="20" spans="2:12" ht="15">
      <c r="B20" s="80">
        <v>1</v>
      </c>
      <c r="C20" s="81">
        <v>2.229688737774055</v>
      </c>
      <c r="F20" s="80">
        <v>1</v>
      </c>
      <c r="G20" s="81">
        <v>1.1010770048760243</v>
      </c>
      <c r="K20" s="80">
        <v>1</v>
      </c>
      <c r="L20" s="81">
        <v>1.13</v>
      </c>
    </row>
    <row r="21" spans="2:12" ht="15">
      <c r="B21" s="80">
        <v>2</v>
      </c>
      <c r="C21" s="81">
        <v>1.6768103590417809</v>
      </c>
      <c r="F21" s="80">
        <v>2</v>
      </c>
      <c r="G21" s="81">
        <v>1.4415154950869236</v>
      </c>
      <c r="K21" s="80">
        <v>2</v>
      </c>
      <c r="L21" s="81">
        <v>0.9</v>
      </c>
    </row>
    <row r="22" spans="2:12" ht="15">
      <c r="B22" s="80">
        <v>3</v>
      </c>
      <c r="C22" s="81">
        <v>1.1345642617318776</v>
      </c>
      <c r="F22" s="80">
        <v>3</v>
      </c>
      <c r="G22" s="81">
        <v>0.9478458049886621</v>
      </c>
      <c r="K22" s="80">
        <v>3</v>
      </c>
      <c r="L22" s="81">
        <v>1.35</v>
      </c>
    </row>
    <row r="23" spans="2:12" ht="15">
      <c r="B23" s="80">
        <v>4</v>
      </c>
      <c r="C23" s="81">
        <v>1.0646279771764267</v>
      </c>
      <c r="F23" s="80">
        <v>4</v>
      </c>
      <c r="G23" s="81">
        <v>1.6553859447004606</v>
      </c>
      <c r="K23" s="80">
        <v>4</v>
      </c>
      <c r="L23" s="81">
        <v>0.98</v>
      </c>
    </row>
    <row r="24" spans="2:12" ht="15">
      <c r="B24" s="80">
        <v>5</v>
      </c>
      <c r="C24" s="81">
        <v>1.6800419148899346</v>
      </c>
      <c r="F24" s="80">
        <v>5</v>
      </c>
      <c r="G24" s="81">
        <v>1.9740979725223424</v>
      </c>
      <c r="K24" s="80">
        <v>5</v>
      </c>
      <c r="L24" s="81">
        <v>1.79</v>
      </c>
    </row>
    <row r="26" spans="2:11" ht="15">
      <c r="B26" s="79" t="s">
        <v>127</v>
      </c>
      <c r="F26" s="79" t="s">
        <v>127</v>
      </c>
      <c r="K26" s="79" t="s">
        <v>127</v>
      </c>
    </row>
    <row r="27" spans="2:11" ht="15">
      <c r="B27" s="82">
        <v>333.81944444444446</v>
      </c>
      <c r="F27" s="82">
        <v>385.654761904762</v>
      </c>
      <c r="K27" s="82">
        <v>253</v>
      </c>
    </row>
    <row r="28" spans="2:11" ht="15">
      <c r="B28" s="79" t="s">
        <v>124</v>
      </c>
      <c r="F28" s="79" t="s">
        <v>124</v>
      </c>
      <c r="K28" s="79" t="s">
        <v>124</v>
      </c>
    </row>
    <row r="29" spans="2:11" ht="15">
      <c r="B29" s="82">
        <v>1.5703403023351987</v>
      </c>
      <c r="F29" s="82">
        <v>1.4087845183735597</v>
      </c>
      <c r="K29" s="82">
        <f>AVERAGE(L20:L24)</f>
        <v>1.23</v>
      </c>
    </row>
    <row r="30" spans="2:11" ht="15">
      <c r="B30" s="79" t="s">
        <v>125</v>
      </c>
      <c r="F30" s="79" t="s">
        <v>125</v>
      </c>
      <c r="K30" s="79" t="s">
        <v>125</v>
      </c>
    </row>
    <row r="31" spans="2:11" ht="15">
      <c r="B31" s="82">
        <v>10.11574074074074</v>
      </c>
      <c r="F31" s="82">
        <v>10.712632275132277</v>
      </c>
      <c r="K31" s="82">
        <f>K27/35</f>
        <v>7.228571428571429</v>
      </c>
    </row>
    <row r="34" spans="2:11" ht="15">
      <c r="B34" s="79" t="s">
        <v>128</v>
      </c>
      <c r="F34" s="79" t="s">
        <v>128</v>
      </c>
      <c r="K34" s="79" t="s">
        <v>128</v>
      </c>
    </row>
    <row r="36" spans="2:12" ht="15">
      <c r="B36" s="80" t="s">
        <v>121</v>
      </c>
      <c r="C36" s="80" t="s">
        <v>129</v>
      </c>
      <c r="F36" s="80" t="s">
        <v>121</v>
      </c>
      <c r="G36" s="80" t="s">
        <v>129</v>
      </c>
      <c r="K36" s="80" t="s">
        <v>121</v>
      </c>
      <c r="L36" s="80" t="s">
        <v>129</v>
      </c>
    </row>
    <row r="37" spans="2:12" ht="15">
      <c r="B37" s="80">
        <v>1</v>
      </c>
      <c r="C37" s="81">
        <v>19.671666666666667</v>
      </c>
      <c r="F37" s="80">
        <v>1</v>
      </c>
      <c r="G37" s="81">
        <v>12.430000000000001</v>
      </c>
      <c r="K37" s="80">
        <v>1</v>
      </c>
      <c r="L37" s="81">
        <v>27.57</v>
      </c>
    </row>
    <row r="38" spans="2:12" ht="15">
      <c r="B38" s="80">
        <v>2</v>
      </c>
      <c r="C38" s="81">
        <v>21.578333333333337</v>
      </c>
      <c r="F38" s="80">
        <v>2</v>
      </c>
      <c r="G38" s="81">
        <v>29.553333333333335</v>
      </c>
      <c r="K38" s="80">
        <v>2</v>
      </c>
      <c r="L38" s="81">
        <v>26.27</v>
      </c>
    </row>
    <row r="39" spans="2:12" ht="15">
      <c r="B39" s="80">
        <v>3</v>
      </c>
      <c r="C39" s="81">
        <v>30.87333333333334</v>
      </c>
      <c r="F39" s="80">
        <v>3</v>
      </c>
      <c r="G39" s="81">
        <v>45.11833333333334</v>
      </c>
      <c r="K39" s="80">
        <v>3</v>
      </c>
      <c r="L39" s="81">
        <v>30.09</v>
      </c>
    </row>
    <row r="40" spans="2:12" ht="15">
      <c r="B40" s="80">
        <v>4</v>
      </c>
      <c r="C40" s="81">
        <v>41.873333333333335</v>
      </c>
      <c r="F40" s="80">
        <v>4</v>
      </c>
      <c r="G40" s="81">
        <v>12.540000000000003</v>
      </c>
      <c r="K40" s="80">
        <v>4</v>
      </c>
      <c r="L40" s="81">
        <v>29.52</v>
      </c>
    </row>
    <row r="41" spans="2:12" ht="15">
      <c r="B41" s="80">
        <v>5</v>
      </c>
      <c r="C41" s="81">
        <v>36.3</v>
      </c>
      <c r="F41" s="80">
        <v>5</v>
      </c>
      <c r="G41" s="81">
        <v>30.983333333333334</v>
      </c>
      <c r="K41" s="80">
        <v>5</v>
      </c>
      <c r="L41" s="81">
        <v>32.96</v>
      </c>
    </row>
    <row r="43" spans="2:11" ht="15">
      <c r="B43" s="79" t="s">
        <v>130</v>
      </c>
      <c r="F43" s="80" t="s">
        <v>131</v>
      </c>
      <c r="G43" s="80" t="s">
        <v>132</v>
      </c>
      <c r="H43" s="80" t="s">
        <v>133</v>
      </c>
      <c r="K43" s="79" t="s">
        <v>130</v>
      </c>
    </row>
    <row r="44" spans="2:11" ht="15">
      <c r="B44" s="82">
        <v>150.29666666666668</v>
      </c>
      <c r="F44" s="80" t="s">
        <v>134</v>
      </c>
      <c r="G44" s="81">
        <v>2.0280135257910343</v>
      </c>
      <c r="H44" s="81">
        <v>0.3738982720703127</v>
      </c>
      <c r="K44" s="82">
        <v>146.41</v>
      </c>
    </row>
    <row r="45" spans="2:11" ht="15">
      <c r="B45" s="79" t="s">
        <v>135</v>
      </c>
      <c r="F45" s="80" t="s">
        <v>136</v>
      </c>
      <c r="G45" s="81">
        <v>5.37548440048613</v>
      </c>
      <c r="H45" s="81">
        <v>0.3944729217740138</v>
      </c>
      <c r="K45" s="79" t="s">
        <v>135</v>
      </c>
    </row>
    <row r="46" spans="2:11" ht="15">
      <c r="B46" s="82">
        <v>5.00988888888889</v>
      </c>
      <c r="F46" s="80" t="s">
        <v>137</v>
      </c>
      <c r="G46" s="81">
        <v>4.315845846882767</v>
      </c>
      <c r="H46" s="81">
        <v>0.4457348989403513</v>
      </c>
      <c r="K46" s="82">
        <f>K44/35</f>
        <v>4.183142857142857</v>
      </c>
    </row>
    <row r="47" spans="2:11" ht="15">
      <c r="B47" s="79" t="s">
        <v>138</v>
      </c>
      <c r="K47" s="79" t="s">
        <v>138</v>
      </c>
    </row>
    <row r="48" spans="2:11" ht="15">
      <c r="B48" s="82">
        <v>330.102</v>
      </c>
      <c r="F48" s="79" t="s">
        <v>130</v>
      </c>
      <c r="K48" s="82">
        <v>197.5</v>
      </c>
    </row>
    <row r="49" spans="2:11" ht="15">
      <c r="B49" s="79" t="s">
        <v>139</v>
      </c>
      <c r="F49" s="82">
        <v>130.625</v>
      </c>
      <c r="K49" s="79" t="s">
        <v>139</v>
      </c>
    </row>
    <row r="50" spans="2:11" ht="15">
      <c r="B50" s="82">
        <v>2.196335648088082</v>
      </c>
      <c r="F50" s="79" t="s">
        <v>135</v>
      </c>
      <c r="K50" s="82">
        <v>1.56</v>
      </c>
    </row>
    <row r="51" ht="15">
      <c r="F51" s="82">
        <v>3.6284722222222223</v>
      </c>
    </row>
    <row r="52" spans="6:11" ht="15">
      <c r="F52" s="79" t="s">
        <v>140</v>
      </c>
      <c r="K52" s="79" t="s">
        <v>179</v>
      </c>
    </row>
    <row r="53" spans="6:11" ht="15">
      <c r="F53" s="82">
        <v>836.9661</v>
      </c>
      <c r="K53" s="82">
        <v>103.74</v>
      </c>
    </row>
    <row r="54" spans="6:11" ht="15">
      <c r="F54" s="79" t="s">
        <v>139</v>
      </c>
      <c r="K54" s="79" t="s">
        <v>178</v>
      </c>
    </row>
    <row r="55" spans="6:11" ht="15">
      <c r="F55" s="82">
        <v>6.407395980861244</v>
      </c>
      <c r="K55" s="82">
        <v>42.67</v>
      </c>
    </row>
    <row r="57" ht="15">
      <c r="F57" s="79" t="s">
        <v>141</v>
      </c>
    </row>
    <row r="58" ht="15">
      <c r="F58" s="82">
        <v>84.44928354923815</v>
      </c>
    </row>
    <row r="59" ht="15">
      <c r="F59" s="79" t="s">
        <v>142</v>
      </c>
    </row>
    <row r="60" ht="15">
      <c r="F60" s="82">
        <v>7.873713463424624</v>
      </c>
    </row>
  </sheetData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90" zoomScaleNormal="90" zoomScaleSheetLayoutView="110" workbookViewId="0" topLeftCell="A1">
      <selection activeCell="D6" sqref="D6"/>
    </sheetView>
  </sheetViews>
  <sheetFormatPr defaultColWidth="9.140625" defaultRowHeight="15"/>
  <cols>
    <col min="1" max="16384" width="9.140625" style="79" customWidth="1"/>
  </cols>
  <sheetData>
    <row r="1" ht="15">
      <c r="B1" s="79" t="s">
        <v>143</v>
      </c>
    </row>
    <row r="3" ht="15">
      <c r="B3" s="83" t="s">
        <v>144</v>
      </c>
    </row>
    <row r="4" spans="1:2" ht="15">
      <c r="A4" s="79">
        <v>1</v>
      </c>
      <c r="B4" s="84" t="s">
        <v>145</v>
      </c>
    </row>
    <row r="5" spans="1:2" ht="15">
      <c r="A5" s="79">
        <v>2</v>
      </c>
      <c r="B5" s="79" t="s">
        <v>146</v>
      </c>
    </row>
    <row r="6" spans="1:2" ht="15">
      <c r="A6" s="79">
        <v>3</v>
      </c>
      <c r="B6" s="79" t="s">
        <v>147</v>
      </c>
    </row>
    <row r="7" spans="1:2" ht="15">
      <c r="A7" s="79">
        <v>4</v>
      </c>
      <c r="B7" s="79" t="s">
        <v>148</v>
      </c>
    </row>
    <row r="10" ht="15">
      <c r="B10" s="83" t="s">
        <v>126</v>
      </c>
    </row>
    <row r="11" spans="1:2" ht="15">
      <c r="A11" s="79">
        <v>1</v>
      </c>
      <c r="B11" s="79" t="s">
        <v>149</v>
      </c>
    </row>
    <row r="12" spans="1:2" ht="15">
      <c r="A12" s="79">
        <v>2</v>
      </c>
      <c r="B12" s="79" t="s">
        <v>146</v>
      </c>
    </row>
    <row r="13" spans="1:2" ht="15">
      <c r="A13" s="79">
        <v>3</v>
      </c>
      <c r="B13" s="79" t="s">
        <v>147</v>
      </c>
    </row>
    <row r="14" spans="1:2" ht="15">
      <c r="A14" s="79">
        <v>4</v>
      </c>
      <c r="B14" s="79" t="s">
        <v>150</v>
      </c>
    </row>
    <row r="17" ht="15">
      <c r="B17" s="83" t="s">
        <v>128</v>
      </c>
    </row>
    <row r="18" spans="1:2" ht="15">
      <c r="A18" s="79">
        <v>1</v>
      </c>
      <c r="B18" s="79" t="s">
        <v>151</v>
      </c>
    </row>
    <row r="19" spans="1:2" ht="15">
      <c r="A19" s="79">
        <v>2</v>
      </c>
      <c r="B19" s="79" t="s">
        <v>152</v>
      </c>
    </row>
    <row r="20" spans="1:2" ht="15">
      <c r="A20" s="79">
        <v>3</v>
      </c>
      <c r="B20" s="79" t="s">
        <v>153</v>
      </c>
    </row>
    <row r="21" spans="1:2" ht="15">
      <c r="A21" s="79">
        <v>4</v>
      </c>
      <c r="B21" s="79" t="s">
        <v>154</v>
      </c>
    </row>
    <row r="22" spans="1:2" ht="15">
      <c r="A22" s="79">
        <v>5</v>
      </c>
      <c r="B22" s="79" t="s">
        <v>155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zoomScaleSheetLayoutView="110" workbookViewId="0" topLeftCell="A1">
      <pane ySplit="8" topLeftCell="BM34" activePane="bottomLeft" state="frozen"/>
      <selection pane="topLeft" activeCell="A1" sqref="A1"/>
      <selection pane="bottomLeft" activeCell="H35" sqref="H35"/>
    </sheetView>
  </sheetViews>
  <sheetFormatPr defaultColWidth="9.14062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7109375" style="0" customWidth="1"/>
    <col min="6" max="6" width="9.28125" style="0" customWidth="1"/>
    <col min="7" max="7" width="7.7109375" style="0" customWidth="1"/>
    <col min="8" max="8" width="8.71093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6" ht="15">
      <c r="A1" s="2" t="s">
        <v>0</v>
      </c>
      <c r="B1" s="2"/>
      <c r="C1" s="2"/>
      <c r="D1" s="3"/>
      <c r="L1" s="2" t="s">
        <v>1</v>
      </c>
      <c r="M1" s="4"/>
      <c r="N1" s="4"/>
      <c r="O1" s="4"/>
      <c r="P1" s="4"/>
    </row>
    <row r="2" spans="4:16" ht="15">
      <c r="D2" s="5"/>
      <c r="F2" s="6" t="s">
        <v>2</v>
      </c>
      <c r="G2" s="7"/>
      <c r="H2" s="7"/>
      <c r="I2" s="8"/>
      <c r="L2" s="1" t="s">
        <v>3</v>
      </c>
      <c r="M2" s="4"/>
      <c r="N2" s="4"/>
      <c r="O2" s="4"/>
      <c r="P2" s="4"/>
    </row>
    <row r="3" spans="1:16" ht="45">
      <c r="A3" s="9" t="s">
        <v>4</v>
      </c>
      <c r="B3" s="10" t="s">
        <v>5</v>
      </c>
      <c r="C3" s="10" t="s">
        <v>6</v>
      </c>
      <c r="D3" s="10" t="s">
        <v>7</v>
      </c>
      <c r="E3" s="11"/>
      <c r="F3" s="12" t="s">
        <v>8</v>
      </c>
      <c r="G3" s="13" t="s">
        <v>9</v>
      </c>
      <c r="H3" s="14" t="s">
        <v>10</v>
      </c>
      <c r="I3" s="15" t="s">
        <v>11</v>
      </c>
      <c r="K3" s="16"/>
      <c r="L3" s="1" t="s">
        <v>12</v>
      </c>
      <c r="M3" s="4"/>
      <c r="N3" s="4"/>
      <c r="O3" s="4"/>
      <c r="P3" s="4"/>
    </row>
    <row r="4" spans="1:16" ht="15">
      <c r="A4" s="17"/>
      <c r="B4" s="18">
        <v>3.785</v>
      </c>
      <c r="C4" s="19">
        <v>10.53</v>
      </c>
      <c r="D4" s="1">
        <v>-65</v>
      </c>
      <c r="E4" s="11"/>
      <c r="F4" s="20">
        <v>234.3</v>
      </c>
      <c r="G4" s="21">
        <f>AVERAGE(M9:M101)</f>
        <v>8.85200918406418</v>
      </c>
      <c r="H4" s="22">
        <v>7</v>
      </c>
      <c r="I4" s="23">
        <f>F4/(G4*H4)</f>
        <v>3.781223886627397</v>
      </c>
      <c r="J4" s="24"/>
      <c r="K4" s="24"/>
      <c r="L4" s="1" t="s">
        <v>13</v>
      </c>
      <c r="M4" s="4"/>
      <c r="N4" s="4"/>
      <c r="O4" s="4"/>
      <c r="P4" s="4"/>
    </row>
    <row r="5" spans="2:16" ht="15">
      <c r="B5" s="25"/>
      <c r="C5" s="25"/>
      <c r="D5" s="26"/>
      <c r="E5" s="27"/>
      <c r="F5" s="28"/>
      <c r="G5" s="29"/>
      <c r="H5" s="24"/>
      <c r="I5" s="30"/>
      <c r="J5" s="24"/>
      <c r="K5" s="24"/>
      <c r="L5" s="1" t="s">
        <v>14</v>
      </c>
      <c r="M5" s="4"/>
      <c r="N5" s="4"/>
      <c r="O5" s="4"/>
      <c r="P5" s="4"/>
    </row>
    <row r="6" spans="1:11" ht="15">
      <c r="A6" s="1" t="s">
        <v>15</v>
      </c>
      <c r="B6" s="25">
        <f>Calibrations!B47</f>
        <v>630.9594999999999</v>
      </c>
      <c r="C6" s="25"/>
      <c r="D6" s="30" t="s">
        <v>16</v>
      </c>
      <c r="E6" s="31"/>
      <c r="F6" s="31"/>
      <c r="K6" t="s">
        <v>17</v>
      </c>
    </row>
    <row r="7" spans="1:15" s="36" customFormat="1" ht="69.75" customHeight="1">
      <c r="A7" s="32" t="s">
        <v>18</v>
      </c>
      <c r="B7" s="32" t="s">
        <v>19</v>
      </c>
      <c r="C7" s="32" t="s">
        <v>19</v>
      </c>
      <c r="D7" s="33" t="s">
        <v>20</v>
      </c>
      <c r="E7" s="34" t="s">
        <v>21</v>
      </c>
      <c r="F7" s="34" t="s">
        <v>22</v>
      </c>
      <c r="G7" s="34" t="s">
        <v>23</v>
      </c>
      <c r="H7" s="34" t="s">
        <v>23</v>
      </c>
      <c r="I7" s="35" t="s">
        <v>24</v>
      </c>
      <c r="J7" s="34" t="s">
        <v>25</v>
      </c>
      <c r="K7" s="34" t="s">
        <v>25</v>
      </c>
      <c r="L7" s="35" t="s">
        <v>26</v>
      </c>
      <c r="M7" s="34" t="s">
        <v>27</v>
      </c>
      <c r="N7" s="34" t="s">
        <v>28</v>
      </c>
      <c r="O7" s="36" t="s">
        <v>29</v>
      </c>
    </row>
    <row r="8" spans="1:14" s="36" customFormat="1" ht="30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34</v>
      </c>
      <c r="G8" s="36" t="s">
        <v>33</v>
      </c>
      <c r="H8" s="36" t="s">
        <v>34</v>
      </c>
      <c r="I8" s="33" t="s">
        <v>35</v>
      </c>
      <c r="J8" s="36" t="s">
        <v>36</v>
      </c>
      <c r="K8" s="36" t="s">
        <v>37</v>
      </c>
      <c r="L8" s="33"/>
      <c r="M8" s="38" t="s">
        <v>38</v>
      </c>
      <c r="N8" s="38" t="s">
        <v>39</v>
      </c>
    </row>
    <row r="9" spans="1:12" s="36" customFormat="1" ht="15">
      <c r="A9" s="32" t="s">
        <v>40</v>
      </c>
      <c r="B9" s="37"/>
      <c r="C9" s="37"/>
      <c r="D9" s="33"/>
      <c r="I9" s="33"/>
      <c r="L9" s="33"/>
    </row>
    <row r="10" spans="1:14" ht="15">
      <c r="A10" s="39">
        <v>40286</v>
      </c>
      <c r="B10" s="40">
        <v>13</v>
      </c>
      <c r="C10" s="40">
        <v>0</v>
      </c>
      <c r="D10" s="41">
        <v>63</v>
      </c>
      <c r="E10" s="42">
        <f aca="true" t="shared" si="0" ref="E10:E50">D10*$C$4+$D$4</f>
        <v>598.39</v>
      </c>
      <c r="F10" s="42">
        <f aca="true" t="shared" si="1" ref="F10:F50">E10/$B$4</f>
        <v>158.09511228533685</v>
      </c>
      <c r="G10" s="42"/>
      <c r="H10" s="42"/>
      <c r="I10" s="43"/>
      <c r="J10" s="42"/>
      <c r="K10" s="42"/>
      <c r="L10" s="41"/>
      <c r="M10" s="44"/>
      <c r="N10" s="44"/>
    </row>
    <row r="11" spans="1:16" ht="15">
      <c r="A11" s="39">
        <v>40287</v>
      </c>
      <c r="B11" s="40">
        <v>8</v>
      </c>
      <c r="C11" s="40">
        <v>0</v>
      </c>
      <c r="D11" s="41">
        <v>59</v>
      </c>
      <c r="E11" s="42">
        <f t="shared" si="0"/>
        <v>556.27</v>
      </c>
      <c r="F11" s="42">
        <f t="shared" si="1"/>
        <v>146.9669749009247</v>
      </c>
      <c r="G11" s="42">
        <f>E10-E11</f>
        <v>42.120000000000005</v>
      </c>
      <c r="H11" s="42">
        <f>G11/$B$4</f>
        <v>11.128137384412154</v>
      </c>
      <c r="I11" s="43">
        <v>19</v>
      </c>
      <c r="J11" s="42">
        <f>(G11/I11)*24</f>
        <v>53.20421052631579</v>
      </c>
      <c r="K11" s="42">
        <f>J11/$B$4</f>
        <v>14.056594590836404</v>
      </c>
      <c r="L11" s="41">
        <v>7</v>
      </c>
      <c r="M11" s="42">
        <f>J11/L11</f>
        <v>7.600601503759399</v>
      </c>
      <c r="N11" s="42">
        <f>M11/$B$4</f>
        <v>2.008084941548058</v>
      </c>
      <c r="P11" s="86"/>
    </row>
    <row r="12" spans="1:16" ht="15">
      <c r="A12" s="39">
        <v>40288</v>
      </c>
      <c r="B12" s="40">
        <v>8</v>
      </c>
      <c r="C12" s="40">
        <v>45</v>
      </c>
      <c r="D12" s="41">
        <v>52</v>
      </c>
      <c r="E12" s="42">
        <f t="shared" si="0"/>
        <v>482.55999999999995</v>
      </c>
      <c r="F12" s="42">
        <f t="shared" si="1"/>
        <v>127.49273447820342</v>
      </c>
      <c r="G12" s="42">
        <f>E11-E12</f>
        <v>73.71000000000004</v>
      </c>
      <c r="H12" s="42">
        <f>G12/$B$4</f>
        <v>19.474240422721277</v>
      </c>
      <c r="I12" s="43">
        <v>24.75</v>
      </c>
      <c r="J12" s="42">
        <f>(G12/I12)*24</f>
        <v>71.47636363636367</v>
      </c>
      <c r="K12" s="42">
        <f>J12/$B$4</f>
        <v>18.884111925063056</v>
      </c>
      <c r="L12" s="41">
        <v>7</v>
      </c>
      <c r="M12" s="42">
        <f>J12/L12</f>
        <v>10.210909090909096</v>
      </c>
      <c r="N12" s="42">
        <f>M12/$B$4</f>
        <v>2.697730275009008</v>
      </c>
      <c r="P12" s="86"/>
    </row>
    <row r="13" spans="1:16" ht="15">
      <c r="A13" s="39">
        <v>40289</v>
      </c>
      <c r="B13" s="1">
        <v>7</v>
      </c>
      <c r="C13" s="1">
        <v>0</v>
      </c>
      <c r="D13" s="1">
        <v>48</v>
      </c>
      <c r="E13" s="42">
        <f t="shared" si="0"/>
        <v>440.43999999999994</v>
      </c>
      <c r="F13" s="42">
        <f t="shared" si="1"/>
        <v>116.36459709379126</v>
      </c>
      <c r="G13" s="42">
        <f>E12-E13</f>
        <v>42.120000000000005</v>
      </c>
      <c r="H13" s="42">
        <f>G13/$B$4</f>
        <v>11.128137384412154</v>
      </c>
      <c r="I13" s="43">
        <v>24.25</v>
      </c>
      <c r="J13" s="42">
        <f>(G13/I13)*24</f>
        <v>41.685773195876294</v>
      </c>
      <c r="K13" s="42">
        <f>J13/$B$4</f>
        <v>11.013414318593473</v>
      </c>
      <c r="L13" s="41">
        <v>7</v>
      </c>
      <c r="M13" s="42">
        <f>J13/L13</f>
        <v>5.955110456553756</v>
      </c>
      <c r="N13" s="42">
        <f>M13/$B$4</f>
        <v>1.5733449026562103</v>
      </c>
      <c r="P13" s="86"/>
    </row>
    <row r="14" spans="1:16" ht="15">
      <c r="A14" s="39">
        <v>40289</v>
      </c>
      <c r="B14" s="1">
        <v>8</v>
      </c>
      <c r="C14" s="1">
        <v>45</v>
      </c>
      <c r="D14" s="1">
        <v>63</v>
      </c>
      <c r="E14" s="42">
        <f t="shared" si="0"/>
        <v>598.39</v>
      </c>
      <c r="F14" s="42">
        <f t="shared" si="1"/>
        <v>158.09511228533685</v>
      </c>
      <c r="N14" s="42"/>
      <c r="O14" t="s">
        <v>41</v>
      </c>
      <c r="P14" s="86"/>
    </row>
    <row r="15" spans="1:16" ht="15">
      <c r="A15" s="39">
        <v>40290</v>
      </c>
      <c r="B15" s="40">
        <v>8</v>
      </c>
      <c r="C15" s="40">
        <v>45</v>
      </c>
      <c r="D15" s="41">
        <v>56</v>
      </c>
      <c r="E15" s="42">
        <f t="shared" si="0"/>
        <v>524.68</v>
      </c>
      <c r="F15" s="42">
        <f t="shared" si="1"/>
        <v>138.62087186261556</v>
      </c>
      <c r="G15" s="42">
        <f>E14-E15</f>
        <v>73.71000000000004</v>
      </c>
      <c r="H15" s="42">
        <f>G15/$B$4</f>
        <v>19.474240422721277</v>
      </c>
      <c r="I15" s="43">
        <v>24</v>
      </c>
      <c r="J15" s="42">
        <f>(G15/I15)*24</f>
        <v>73.71000000000004</v>
      </c>
      <c r="K15" s="42">
        <f>J15/$B$4</f>
        <v>19.474240422721277</v>
      </c>
      <c r="L15" s="41">
        <v>7</v>
      </c>
      <c r="M15" s="42">
        <f>J15/L15</f>
        <v>10.530000000000005</v>
      </c>
      <c r="N15" s="42">
        <f>M15/$B$4</f>
        <v>2.7820343461030395</v>
      </c>
      <c r="P15" s="86"/>
    </row>
    <row r="16" spans="1:16" ht="15">
      <c r="A16" s="39">
        <v>40291</v>
      </c>
      <c r="B16" s="40">
        <v>8</v>
      </c>
      <c r="C16" s="40">
        <v>0</v>
      </c>
      <c r="D16" s="41">
        <v>52</v>
      </c>
      <c r="E16" s="42">
        <f t="shared" si="0"/>
        <v>482.55999999999995</v>
      </c>
      <c r="F16" s="42">
        <f t="shared" si="1"/>
        <v>127.49273447820342</v>
      </c>
      <c r="G16" s="42">
        <f>E15-E16</f>
        <v>42.120000000000005</v>
      </c>
      <c r="H16" s="42">
        <f>G16/$B$4</f>
        <v>11.128137384412154</v>
      </c>
      <c r="I16" s="43">
        <v>23.25</v>
      </c>
      <c r="J16" s="42">
        <f>(G16/I16)*24</f>
        <v>43.47870967741936</v>
      </c>
      <c r="K16" s="42">
        <f>J16/$B$4</f>
        <v>11.487109558102869</v>
      </c>
      <c r="L16" s="41">
        <v>6</v>
      </c>
      <c r="M16" s="42">
        <f>J16/L16</f>
        <v>7.246451612903226</v>
      </c>
      <c r="N16" s="42">
        <f>M16/$B$4</f>
        <v>1.9145182596838113</v>
      </c>
      <c r="P16" s="86"/>
    </row>
    <row r="17" spans="1:16" ht="15">
      <c r="A17" s="39">
        <v>40292</v>
      </c>
      <c r="B17" s="1">
        <v>8</v>
      </c>
      <c r="C17" s="1">
        <v>17</v>
      </c>
      <c r="D17" s="1">
        <v>44.5</v>
      </c>
      <c r="E17" s="42">
        <f t="shared" si="0"/>
        <v>403.585</v>
      </c>
      <c r="F17" s="42">
        <f t="shared" si="1"/>
        <v>106.62747688243064</v>
      </c>
      <c r="G17" s="42">
        <f>E16-E17</f>
        <v>78.97499999999997</v>
      </c>
      <c r="H17" s="42">
        <f>G17/$B$4</f>
        <v>20.86525759577278</v>
      </c>
      <c r="I17" s="1">
        <v>24</v>
      </c>
      <c r="J17" s="42">
        <f>(G17/I17)*24</f>
        <v>78.97499999999997</v>
      </c>
      <c r="K17" s="42">
        <f>J17/$B$4</f>
        <v>20.86525759577278</v>
      </c>
      <c r="L17" s="1">
        <v>7</v>
      </c>
      <c r="M17" s="42">
        <f>J17/L17</f>
        <v>11.282142857142853</v>
      </c>
      <c r="N17" s="42">
        <f>M17/$B$4</f>
        <v>2.980751085110397</v>
      </c>
      <c r="P17" s="86"/>
    </row>
    <row r="18" spans="1:16" ht="15">
      <c r="A18" s="39">
        <v>40293</v>
      </c>
      <c r="B18" s="1">
        <v>8</v>
      </c>
      <c r="C18" s="1">
        <v>8</v>
      </c>
      <c r="D18" s="1">
        <v>38.5</v>
      </c>
      <c r="E18" s="42">
        <f t="shared" si="0"/>
        <v>340.405</v>
      </c>
      <c r="F18" s="42">
        <f t="shared" si="1"/>
        <v>89.93527080581241</v>
      </c>
      <c r="G18" s="42">
        <f>E17-E18</f>
        <v>63.18000000000001</v>
      </c>
      <c r="H18" s="42">
        <f>G18/$B$4</f>
        <v>16.69220607661823</v>
      </c>
      <c r="I18" s="1">
        <v>24</v>
      </c>
      <c r="J18" s="42">
        <f>(G18/I18)*24</f>
        <v>63.18000000000001</v>
      </c>
      <c r="K18" s="42">
        <f>J18/$B$4</f>
        <v>16.69220607661823</v>
      </c>
      <c r="L18" s="1">
        <v>7</v>
      </c>
      <c r="M18" s="42">
        <f>J18/L18</f>
        <v>9.025714285714287</v>
      </c>
      <c r="N18" s="42">
        <f>M18/$B$4</f>
        <v>2.384600868088319</v>
      </c>
      <c r="P18" s="86"/>
    </row>
    <row r="19" spans="1:15" ht="15">
      <c r="A19" s="39">
        <v>40297</v>
      </c>
      <c r="B19" s="1">
        <v>15</v>
      </c>
      <c r="C19" s="1">
        <v>0</v>
      </c>
      <c r="D19" s="1">
        <v>63</v>
      </c>
      <c r="E19" s="42">
        <f t="shared" si="0"/>
        <v>598.39</v>
      </c>
      <c r="F19" s="42">
        <f t="shared" si="1"/>
        <v>158.09511228533685</v>
      </c>
      <c r="G19" s="42"/>
      <c r="H19" s="42"/>
      <c r="I19" s="1">
        <v>17.5</v>
      </c>
      <c r="J19" s="42"/>
      <c r="K19" s="42"/>
      <c r="L19" s="1">
        <v>6</v>
      </c>
      <c r="M19" s="42"/>
      <c r="N19" s="42"/>
      <c r="O19" t="s">
        <v>42</v>
      </c>
    </row>
    <row r="20" spans="1:16" ht="15">
      <c r="A20" s="39">
        <v>40298</v>
      </c>
      <c r="B20" s="1">
        <v>8</v>
      </c>
      <c r="C20" s="1">
        <v>27</v>
      </c>
      <c r="D20" s="1">
        <v>59</v>
      </c>
      <c r="E20" s="42">
        <f t="shared" si="0"/>
        <v>556.27</v>
      </c>
      <c r="F20" s="42">
        <f t="shared" si="1"/>
        <v>146.9669749009247</v>
      </c>
      <c r="G20" s="42">
        <f aca="true" t="shared" si="2" ref="G20:G28">E19-E20</f>
        <v>42.120000000000005</v>
      </c>
      <c r="H20" s="42">
        <f aca="true" t="shared" si="3" ref="H20:H28">G20/$B$4</f>
        <v>11.128137384412154</v>
      </c>
      <c r="I20" s="1">
        <v>24</v>
      </c>
      <c r="J20" s="42">
        <f aca="true" t="shared" si="4" ref="J20:J28">(G20/I20)*24</f>
        <v>42.120000000000005</v>
      </c>
      <c r="K20" s="42">
        <f aca="true" t="shared" si="5" ref="K20:K28">J20/$B$4</f>
        <v>11.128137384412154</v>
      </c>
      <c r="L20" s="1">
        <v>6</v>
      </c>
      <c r="M20" s="42">
        <f aca="true" t="shared" si="6" ref="M20:M28">J20/L20</f>
        <v>7.0200000000000005</v>
      </c>
      <c r="N20" s="42">
        <f aca="true" t="shared" si="7" ref="N20:N28">M20/$B$4</f>
        <v>1.8546895640686922</v>
      </c>
      <c r="P20" s="87"/>
    </row>
    <row r="21" spans="1:16" ht="15">
      <c r="A21" s="39">
        <v>40299</v>
      </c>
      <c r="B21" s="1">
        <v>8</v>
      </c>
      <c r="C21" s="1">
        <v>31</v>
      </c>
      <c r="D21" s="1">
        <v>54</v>
      </c>
      <c r="E21" s="42">
        <f t="shared" si="0"/>
        <v>503.62</v>
      </c>
      <c r="F21" s="42">
        <f t="shared" si="1"/>
        <v>133.0568031704095</v>
      </c>
      <c r="G21" s="42">
        <f t="shared" si="2"/>
        <v>52.64999999999998</v>
      </c>
      <c r="H21" s="42">
        <f t="shared" si="3"/>
        <v>13.910171730515184</v>
      </c>
      <c r="I21" s="1">
        <v>24</v>
      </c>
      <c r="J21" s="42">
        <f t="shared" si="4"/>
        <v>52.64999999999998</v>
      </c>
      <c r="K21" s="42">
        <f t="shared" si="5"/>
        <v>13.910171730515184</v>
      </c>
      <c r="L21" s="1">
        <v>6</v>
      </c>
      <c r="M21" s="42">
        <f t="shared" si="6"/>
        <v>8.774999999999997</v>
      </c>
      <c r="N21" s="42">
        <f t="shared" si="7"/>
        <v>2.3183619550858645</v>
      </c>
      <c r="P21" s="87"/>
    </row>
    <row r="22" spans="1:16" ht="15">
      <c r="A22" s="39">
        <v>40300</v>
      </c>
      <c r="B22" s="1">
        <v>8</v>
      </c>
      <c r="C22" s="1">
        <v>0</v>
      </c>
      <c r="D22" s="1">
        <v>50</v>
      </c>
      <c r="E22" s="42">
        <f t="shared" si="0"/>
        <v>461.5</v>
      </c>
      <c r="F22" s="42">
        <f t="shared" si="1"/>
        <v>121.92866578599735</v>
      </c>
      <c r="G22" s="42">
        <f t="shared" si="2"/>
        <v>42.120000000000005</v>
      </c>
      <c r="H22" s="42">
        <f t="shared" si="3"/>
        <v>11.128137384412154</v>
      </c>
      <c r="I22" s="1">
        <v>23.5</v>
      </c>
      <c r="J22" s="42">
        <f t="shared" si="4"/>
        <v>43.016170212765964</v>
      </c>
      <c r="K22" s="42">
        <f t="shared" si="5"/>
        <v>11.364906264931562</v>
      </c>
      <c r="L22" s="1">
        <v>6</v>
      </c>
      <c r="M22" s="42">
        <f t="shared" si="6"/>
        <v>7.16936170212766</v>
      </c>
      <c r="N22" s="42">
        <f t="shared" si="7"/>
        <v>1.8941510441552603</v>
      </c>
      <c r="P22" s="87"/>
    </row>
    <row r="23" spans="1:16" ht="15">
      <c r="A23" s="39">
        <v>40301</v>
      </c>
      <c r="B23" s="1">
        <v>8</v>
      </c>
      <c r="C23" s="1">
        <v>14</v>
      </c>
      <c r="D23" s="1">
        <v>46</v>
      </c>
      <c r="E23" s="42">
        <f t="shared" si="0"/>
        <v>419.38</v>
      </c>
      <c r="F23" s="42">
        <f t="shared" si="1"/>
        <v>110.8005284015852</v>
      </c>
      <c r="G23" s="42">
        <f t="shared" si="2"/>
        <v>42.120000000000005</v>
      </c>
      <c r="H23" s="42">
        <f t="shared" si="3"/>
        <v>11.128137384412154</v>
      </c>
      <c r="I23" s="1">
        <v>24.25</v>
      </c>
      <c r="J23" s="42">
        <f t="shared" si="4"/>
        <v>41.685773195876294</v>
      </c>
      <c r="K23" s="42">
        <f t="shared" si="5"/>
        <v>11.013414318593473</v>
      </c>
      <c r="L23" s="1">
        <v>6</v>
      </c>
      <c r="M23" s="42">
        <f t="shared" si="6"/>
        <v>6.947628865979382</v>
      </c>
      <c r="N23" s="42">
        <f t="shared" si="7"/>
        <v>1.835569053098912</v>
      </c>
      <c r="P23" s="87"/>
    </row>
    <row r="24" spans="1:16" ht="15">
      <c r="A24" s="39">
        <v>40302</v>
      </c>
      <c r="B24" s="1">
        <v>8</v>
      </c>
      <c r="C24" s="1">
        <v>0</v>
      </c>
      <c r="D24" s="1">
        <v>40.5</v>
      </c>
      <c r="E24" s="42">
        <f t="shared" si="0"/>
        <v>361.465</v>
      </c>
      <c r="F24" s="42">
        <f t="shared" si="1"/>
        <v>95.49933949801849</v>
      </c>
      <c r="G24" s="42">
        <f t="shared" si="2"/>
        <v>57.91500000000002</v>
      </c>
      <c r="H24" s="42">
        <f t="shared" si="3"/>
        <v>15.301188903566716</v>
      </c>
      <c r="I24" s="1">
        <v>23.75</v>
      </c>
      <c r="J24" s="42">
        <f t="shared" si="4"/>
        <v>58.52463157894739</v>
      </c>
      <c r="K24" s="42">
        <f t="shared" si="5"/>
        <v>15.46225404992005</v>
      </c>
      <c r="L24" s="1">
        <v>6</v>
      </c>
      <c r="M24" s="42">
        <f t="shared" si="6"/>
        <v>9.754105263157898</v>
      </c>
      <c r="N24" s="42">
        <f t="shared" si="7"/>
        <v>2.5770423416533417</v>
      </c>
      <c r="P24" s="87"/>
    </row>
    <row r="25" spans="1:16" ht="15">
      <c r="A25" s="39">
        <v>40303</v>
      </c>
      <c r="B25" s="1">
        <v>8</v>
      </c>
      <c r="C25" s="1">
        <v>9</v>
      </c>
      <c r="D25" s="1">
        <v>33.5</v>
      </c>
      <c r="E25" s="42">
        <f t="shared" si="0"/>
        <v>287.755</v>
      </c>
      <c r="F25" s="42">
        <f t="shared" si="1"/>
        <v>76.02509907529722</v>
      </c>
      <c r="G25" s="42">
        <f t="shared" si="2"/>
        <v>73.70999999999998</v>
      </c>
      <c r="H25" s="42">
        <f t="shared" si="3"/>
        <v>19.474240422721262</v>
      </c>
      <c r="I25" s="1">
        <v>24</v>
      </c>
      <c r="J25" s="42">
        <f t="shared" si="4"/>
        <v>73.70999999999998</v>
      </c>
      <c r="K25" s="42">
        <f t="shared" si="5"/>
        <v>19.474240422721262</v>
      </c>
      <c r="L25" s="1">
        <v>7</v>
      </c>
      <c r="M25" s="42">
        <f t="shared" si="6"/>
        <v>10.529999999999998</v>
      </c>
      <c r="N25" s="42">
        <f t="shared" si="7"/>
        <v>2.7820343461030377</v>
      </c>
      <c r="P25" s="87"/>
    </row>
    <row r="26" spans="1:16" ht="15">
      <c r="A26" s="39">
        <v>40304</v>
      </c>
      <c r="B26" s="1">
        <v>8</v>
      </c>
      <c r="C26" s="1">
        <v>15</v>
      </c>
      <c r="D26" s="1">
        <v>28</v>
      </c>
      <c r="E26" s="42">
        <f t="shared" si="0"/>
        <v>229.83999999999997</v>
      </c>
      <c r="F26" s="42">
        <f t="shared" si="1"/>
        <v>60.72391017173051</v>
      </c>
      <c r="G26" s="42">
        <f t="shared" si="2"/>
        <v>57.91500000000002</v>
      </c>
      <c r="H26" s="42">
        <f t="shared" si="3"/>
        <v>15.301188903566716</v>
      </c>
      <c r="I26" s="1">
        <v>24</v>
      </c>
      <c r="J26" s="42">
        <f t="shared" si="4"/>
        <v>57.91500000000002</v>
      </c>
      <c r="K26" s="42">
        <f t="shared" si="5"/>
        <v>15.301188903566716</v>
      </c>
      <c r="L26" s="1">
        <v>7</v>
      </c>
      <c r="M26" s="42">
        <f t="shared" si="6"/>
        <v>8.273571428571431</v>
      </c>
      <c r="N26" s="42">
        <f t="shared" si="7"/>
        <v>2.1858841290809594</v>
      </c>
      <c r="P26" s="88"/>
    </row>
    <row r="27" spans="1:16" ht="15">
      <c r="A27" s="39">
        <v>40305</v>
      </c>
      <c r="B27" s="1">
        <v>8</v>
      </c>
      <c r="C27" s="1">
        <v>0</v>
      </c>
      <c r="D27" s="1">
        <v>24</v>
      </c>
      <c r="E27" s="42">
        <f t="shared" si="0"/>
        <v>187.71999999999997</v>
      </c>
      <c r="F27" s="42">
        <f t="shared" si="1"/>
        <v>49.59577278731835</v>
      </c>
      <c r="G27" s="42">
        <f t="shared" si="2"/>
        <v>42.120000000000005</v>
      </c>
      <c r="H27" s="42">
        <f t="shared" si="3"/>
        <v>11.128137384412154</v>
      </c>
      <c r="I27" s="1">
        <v>23.75</v>
      </c>
      <c r="J27" s="42">
        <f t="shared" si="4"/>
        <v>42.56336842105264</v>
      </c>
      <c r="K27" s="42">
        <f t="shared" si="5"/>
        <v>11.245275672669123</v>
      </c>
      <c r="L27" s="1">
        <v>7</v>
      </c>
      <c r="M27" s="42">
        <f t="shared" si="6"/>
        <v>6.08048120300752</v>
      </c>
      <c r="N27" s="42">
        <f t="shared" si="7"/>
        <v>1.6064679532384465</v>
      </c>
      <c r="P27" s="88"/>
    </row>
    <row r="28" spans="1:16" ht="15">
      <c r="A28" s="39">
        <v>40306</v>
      </c>
      <c r="B28" s="1">
        <v>9</v>
      </c>
      <c r="C28" s="1">
        <v>12</v>
      </c>
      <c r="D28" s="1">
        <v>20</v>
      </c>
      <c r="E28" s="42">
        <f t="shared" si="0"/>
        <v>145.6</v>
      </c>
      <c r="F28" s="42">
        <f t="shared" si="1"/>
        <v>38.467635402906204</v>
      </c>
      <c r="G28" s="42">
        <f t="shared" si="2"/>
        <v>42.119999999999976</v>
      </c>
      <c r="H28" s="42">
        <f t="shared" si="3"/>
        <v>11.128137384412147</v>
      </c>
      <c r="I28" s="1">
        <v>24.2</v>
      </c>
      <c r="J28" s="42">
        <f t="shared" si="4"/>
        <v>41.771900826446256</v>
      </c>
      <c r="K28" s="42">
        <f t="shared" si="5"/>
        <v>11.03616930685502</v>
      </c>
      <c r="L28" s="1">
        <v>6</v>
      </c>
      <c r="M28" s="42">
        <f t="shared" si="6"/>
        <v>6.961983471074376</v>
      </c>
      <c r="N28" s="42">
        <f t="shared" si="7"/>
        <v>1.8393615511425034</v>
      </c>
      <c r="O28" t="s">
        <v>43</v>
      </c>
      <c r="P28" s="88"/>
    </row>
    <row r="29" spans="1:16" ht="15">
      <c r="A29" s="39">
        <v>40307</v>
      </c>
      <c r="B29" s="1">
        <v>8</v>
      </c>
      <c r="C29" s="1">
        <v>30</v>
      </c>
      <c r="D29" s="1">
        <v>62</v>
      </c>
      <c r="E29" s="42">
        <f t="shared" si="0"/>
        <v>587.86</v>
      </c>
      <c r="F29" s="42">
        <f t="shared" si="1"/>
        <v>155.3130779392338</v>
      </c>
      <c r="H29" s="42"/>
      <c r="I29" s="1">
        <v>23.75</v>
      </c>
      <c r="J29" s="42"/>
      <c r="K29" s="42"/>
      <c r="L29" s="1">
        <v>6</v>
      </c>
      <c r="M29" s="42"/>
      <c r="N29" s="42"/>
      <c r="O29" t="s">
        <v>42</v>
      </c>
      <c r="P29" s="88"/>
    </row>
    <row r="30" spans="1:16" ht="15">
      <c r="A30" s="39">
        <v>40308</v>
      </c>
      <c r="B30" s="1">
        <v>8</v>
      </c>
      <c r="C30" s="1">
        <v>11</v>
      </c>
      <c r="D30" s="1">
        <v>58.5</v>
      </c>
      <c r="E30" s="42">
        <f t="shared" si="0"/>
        <v>551.005</v>
      </c>
      <c r="F30" s="42">
        <f t="shared" si="1"/>
        <v>145.57595772787317</v>
      </c>
      <c r="G30" s="44">
        <f>E29-E30</f>
        <v>36.85500000000002</v>
      </c>
      <c r="H30" s="42">
        <f>G30/$B$4</f>
        <v>9.737120211360638</v>
      </c>
      <c r="I30" s="1">
        <v>23.75</v>
      </c>
      <c r="J30" s="42">
        <f>(G30/I30)*24</f>
        <v>37.24294736842107</v>
      </c>
      <c r="K30" s="42">
        <f>J30/$B$4</f>
        <v>9.839616213585487</v>
      </c>
      <c r="L30" s="1">
        <v>6</v>
      </c>
      <c r="M30" s="42">
        <f>J30/L30</f>
        <v>6.207157894736845</v>
      </c>
      <c r="N30" s="42">
        <f>M30/$B$4</f>
        <v>1.6399360355975812</v>
      </c>
      <c r="P30" s="88"/>
    </row>
    <row r="31" spans="1:16" ht="15">
      <c r="A31" s="39">
        <v>40309</v>
      </c>
      <c r="B31" s="1">
        <v>8</v>
      </c>
      <c r="C31" s="1">
        <v>15</v>
      </c>
      <c r="D31" s="1">
        <v>54.5</v>
      </c>
      <c r="E31" s="42">
        <f t="shared" si="0"/>
        <v>508.885</v>
      </c>
      <c r="F31" s="42">
        <f t="shared" si="1"/>
        <v>134.44782034346102</v>
      </c>
      <c r="G31" s="44">
        <f>E30-E31</f>
        <v>42.120000000000005</v>
      </c>
      <c r="H31" s="42">
        <f>G31/$B$4</f>
        <v>11.128137384412154</v>
      </c>
      <c r="I31" s="1">
        <v>24</v>
      </c>
      <c r="J31" s="42">
        <f>(G31/I31)*24</f>
        <v>42.120000000000005</v>
      </c>
      <c r="K31" s="42">
        <f>J31/$B$4</f>
        <v>11.128137384412154</v>
      </c>
      <c r="L31" s="1">
        <v>6</v>
      </c>
      <c r="M31" s="42">
        <f>J31/L31</f>
        <v>7.0200000000000005</v>
      </c>
      <c r="N31" s="42">
        <f>M31/$B$4</f>
        <v>1.8546895640686922</v>
      </c>
      <c r="P31" s="88"/>
    </row>
    <row r="32" spans="1:16" ht="15">
      <c r="A32" s="39">
        <v>40310</v>
      </c>
      <c r="B32" s="1">
        <v>8</v>
      </c>
      <c r="C32" s="1">
        <v>45</v>
      </c>
      <c r="D32" s="1">
        <v>49</v>
      </c>
      <c r="E32" s="42">
        <f t="shared" si="0"/>
        <v>450.9699999999999</v>
      </c>
      <c r="F32" s="42">
        <f t="shared" si="1"/>
        <v>119.14663143989429</v>
      </c>
      <c r="G32" s="44">
        <f>E31-E32</f>
        <v>57.91500000000008</v>
      </c>
      <c r="H32" s="42">
        <f>G32/$B$4</f>
        <v>15.30118890356673</v>
      </c>
      <c r="I32" s="1">
        <v>24.5</v>
      </c>
      <c r="J32" s="42">
        <f>(G32/I32)*24</f>
        <v>56.73306122448987</v>
      </c>
      <c r="K32" s="42">
        <f>J32/$B$4</f>
        <v>14.98891974226945</v>
      </c>
      <c r="L32" s="1">
        <v>6</v>
      </c>
      <c r="M32" s="42">
        <f>J32/L32</f>
        <v>9.455510204081646</v>
      </c>
      <c r="N32" s="42">
        <f>M32/$B$4</f>
        <v>2.4981532903782417</v>
      </c>
      <c r="P32" s="88"/>
    </row>
    <row r="33" spans="1:12" ht="15">
      <c r="A33" s="39">
        <v>40314</v>
      </c>
      <c r="B33" s="1">
        <v>1</v>
      </c>
      <c r="C33" s="1">
        <v>15</v>
      </c>
      <c r="D33" s="1">
        <v>61</v>
      </c>
      <c r="E33" s="42">
        <f t="shared" si="0"/>
        <v>577.3299999999999</v>
      </c>
      <c r="F33" s="42">
        <f t="shared" si="1"/>
        <v>152.53104359313076</v>
      </c>
      <c r="L33" s="1">
        <v>7</v>
      </c>
    </row>
    <row r="34" spans="1:16" ht="15">
      <c r="A34" s="39">
        <v>40315</v>
      </c>
      <c r="B34" s="1">
        <v>8</v>
      </c>
      <c r="C34" s="1">
        <v>15</v>
      </c>
      <c r="D34" s="1">
        <v>59</v>
      </c>
      <c r="E34" s="42">
        <f t="shared" si="0"/>
        <v>556.27</v>
      </c>
      <c r="F34" s="42">
        <f t="shared" si="1"/>
        <v>146.9669749009247</v>
      </c>
      <c r="G34" s="44">
        <f>E33-E34</f>
        <v>21.059999999999945</v>
      </c>
      <c r="H34" s="42">
        <f>G34/$B$4</f>
        <v>5.564068692206062</v>
      </c>
      <c r="I34" s="1">
        <v>24</v>
      </c>
      <c r="J34" s="42">
        <f>(G34/I34)*24</f>
        <v>21.059999999999945</v>
      </c>
      <c r="K34" s="42">
        <f>J34/$B$4</f>
        <v>5.564068692206062</v>
      </c>
      <c r="L34" s="1">
        <v>7</v>
      </c>
      <c r="M34" s="42">
        <f>J34/L34</f>
        <v>3.008571428571421</v>
      </c>
      <c r="N34" s="42">
        <f>M34/$B$4</f>
        <v>0.7948669560294375</v>
      </c>
      <c r="P34" s="89"/>
    </row>
    <row r="35" spans="1:16" ht="15">
      <c r="A35" s="39">
        <v>40316</v>
      </c>
      <c r="B35" s="1">
        <v>8</v>
      </c>
      <c r="C35" s="1">
        <v>0</v>
      </c>
      <c r="D35" s="1">
        <v>38</v>
      </c>
      <c r="E35" s="42">
        <f t="shared" si="0"/>
        <v>335.14</v>
      </c>
      <c r="F35" s="42">
        <f t="shared" si="1"/>
        <v>88.54425363276088</v>
      </c>
      <c r="G35" s="44">
        <f>E34-E35</f>
        <v>221.13</v>
      </c>
      <c r="H35" s="42">
        <f>G35/$B$4</f>
        <v>58.4227212681638</v>
      </c>
      <c r="I35" s="1">
        <v>23.5</v>
      </c>
      <c r="J35" s="42">
        <f>(G35/I35)*24</f>
        <v>225.83489361702124</v>
      </c>
      <c r="K35" s="42">
        <f>J35/$B$4</f>
        <v>59.66575789089068</v>
      </c>
      <c r="L35" s="1">
        <v>7</v>
      </c>
      <c r="M35" s="42">
        <f>J35/L35</f>
        <v>32.26212765957446</v>
      </c>
      <c r="N35" s="42">
        <f>M35/$B$4</f>
        <v>8.523679698698668</v>
      </c>
      <c r="O35" t="s">
        <v>44</v>
      </c>
      <c r="P35" s="89"/>
    </row>
    <row r="36" spans="1:16" ht="15">
      <c r="A36" s="39">
        <v>40317</v>
      </c>
      <c r="B36" s="1">
        <v>8</v>
      </c>
      <c r="C36" s="1">
        <v>0</v>
      </c>
      <c r="D36" s="1">
        <v>32.5</v>
      </c>
      <c r="E36" s="42">
        <f t="shared" si="0"/>
        <v>277.22499999999997</v>
      </c>
      <c r="F36" s="42">
        <f t="shared" si="1"/>
        <v>73.24306472919417</v>
      </c>
      <c r="G36" s="44">
        <f>E35-E36</f>
        <v>57.91500000000002</v>
      </c>
      <c r="H36" s="42">
        <f>G36/$B$4</f>
        <v>15.301188903566716</v>
      </c>
      <c r="I36" s="1">
        <v>24</v>
      </c>
      <c r="J36" s="42">
        <f>(G36/I36)*24</f>
        <v>57.91500000000002</v>
      </c>
      <c r="K36" s="42">
        <f>J36/$B$4</f>
        <v>15.301188903566716</v>
      </c>
      <c r="L36" s="1">
        <v>7</v>
      </c>
      <c r="M36" s="42">
        <f>J36/L36</f>
        <v>8.273571428571431</v>
      </c>
      <c r="N36" s="42">
        <f>M36/$B$4</f>
        <v>2.1858841290809594</v>
      </c>
      <c r="P36" s="89"/>
    </row>
    <row r="37" spans="1:16" ht="15">
      <c r="A37" s="39">
        <v>40318</v>
      </c>
      <c r="B37" s="1">
        <v>7</v>
      </c>
      <c r="C37" s="1">
        <v>50</v>
      </c>
      <c r="D37" s="1">
        <v>28</v>
      </c>
      <c r="E37" s="42">
        <f t="shared" si="0"/>
        <v>229.83999999999997</v>
      </c>
      <c r="F37" s="42">
        <f t="shared" si="1"/>
        <v>60.72391017173051</v>
      </c>
      <c r="G37" s="44">
        <f>E36-E37</f>
        <v>47.38499999999999</v>
      </c>
      <c r="H37" s="42">
        <f>G37/$B$4</f>
        <v>12.51915455746367</v>
      </c>
      <c r="I37" s="1">
        <v>23.83</v>
      </c>
      <c r="J37" s="42">
        <f>(G37/I37)*24</f>
        <v>47.723038187159034</v>
      </c>
      <c r="K37" s="42">
        <f>J37/$B$4</f>
        <v>12.608464514440959</v>
      </c>
      <c r="L37" s="1">
        <v>7</v>
      </c>
      <c r="M37" s="42">
        <f>J37/L37</f>
        <v>6.817576883879862</v>
      </c>
      <c r="N37" s="42">
        <f>M37/$B$4</f>
        <v>1.8012092163487083</v>
      </c>
      <c r="P37" s="89"/>
    </row>
    <row r="38" spans="1:16" ht="22.5" customHeight="1">
      <c r="A38" s="39">
        <v>40318</v>
      </c>
      <c r="B38" s="1">
        <v>9</v>
      </c>
      <c r="C38" s="1">
        <v>30</v>
      </c>
      <c r="D38" s="1">
        <v>64</v>
      </c>
      <c r="E38" s="42">
        <f t="shared" si="0"/>
        <v>608.92</v>
      </c>
      <c r="F38" s="42">
        <f t="shared" si="1"/>
        <v>160.87714663143987</v>
      </c>
      <c r="H38" s="42"/>
      <c r="J38" s="42"/>
      <c r="K38" s="42"/>
      <c r="L38" s="1">
        <v>7</v>
      </c>
      <c r="M38" s="42"/>
      <c r="N38" s="42"/>
      <c r="O38" t="s">
        <v>45</v>
      </c>
      <c r="P38" s="89"/>
    </row>
    <row r="39" spans="1:16" ht="15">
      <c r="A39" s="39">
        <v>40319</v>
      </c>
      <c r="B39" s="1">
        <v>8</v>
      </c>
      <c r="C39" s="1">
        <v>0</v>
      </c>
      <c r="D39" s="1">
        <v>59</v>
      </c>
      <c r="E39" s="42">
        <f t="shared" si="0"/>
        <v>556.27</v>
      </c>
      <c r="F39" s="42">
        <f t="shared" si="1"/>
        <v>146.9669749009247</v>
      </c>
      <c r="G39" s="44">
        <f aca="true" t="shared" si="8" ref="G39:G45">E38-E39</f>
        <v>52.64999999999998</v>
      </c>
      <c r="H39" s="42">
        <f aca="true" t="shared" si="9" ref="H39:H45">G39/$B$4</f>
        <v>13.910171730515184</v>
      </c>
      <c r="I39" s="1">
        <v>22.5</v>
      </c>
      <c r="J39" s="42">
        <f aca="true" t="shared" si="10" ref="J39:J45">(G39/I39)*24</f>
        <v>56.159999999999975</v>
      </c>
      <c r="K39" s="42">
        <f aca="true" t="shared" si="11" ref="K39:K45">J39/$B$4</f>
        <v>14.83751651254953</v>
      </c>
      <c r="L39" s="1">
        <v>7</v>
      </c>
      <c r="M39" s="42">
        <f aca="true" t="shared" si="12" ref="M39:M45">J39/L39</f>
        <v>8.02285714285714</v>
      </c>
      <c r="N39" s="42">
        <f aca="true" t="shared" si="13" ref="N39:N45">M39/$B$4</f>
        <v>2.1196452160785046</v>
      </c>
      <c r="P39" s="89"/>
    </row>
    <row r="40" spans="1:16" ht="15">
      <c r="A40" s="39">
        <v>40320</v>
      </c>
      <c r="B40" s="1">
        <v>8</v>
      </c>
      <c r="C40" s="1">
        <v>15</v>
      </c>
      <c r="D40" s="1">
        <v>53</v>
      </c>
      <c r="E40" s="42">
        <f t="shared" si="0"/>
        <v>493.0899999999999</v>
      </c>
      <c r="F40" s="42">
        <f t="shared" si="1"/>
        <v>130.27476882430645</v>
      </c>
      <c r="G40" s="44">
        <f t="shared" si="8"/>
        <v>63.180000000000064</v>
      </c>
      <c r="H40" s="42">
        <f t="shared" si="9"/>
        <v>16.692206076618245</v>
      </c>
      <c r="I40" s="1">
        <v>24</v>
      </c>
      <c r="J40" s="42">
        <f t="shared" si="10"/>
        <v>63.180000000000064</v>
      </c>
      <c r="K40" s="42">
        <f t="shared" si="11"/>
        <v>16.692206076618245</v>
      </c>
      <c r="L40" s="1">
        <v>7</v>
      </c>
      <c r="M40" s="42">
        <f t="shared" si="12"/>
        <v>9.025714285714296</v>
      </c>
      <c r="N40" s="42">
        <f t="shared" si="13"/>
        <v>2.384600868088321</v>
      </c>
      <c r="P40" s="89"/>
    </row>
    <row r="41" spans="1:16" ht="15">
      <c r="A41" s="39">
        <v>40321</v>
      </c>
      <c r="B41" s="1">
        <v>8</v>
      </c>
      <c r="C41" s="1">
        <v>15</v>
      </c>
      <c r="D41" s="1">
        <v>49</v>
      </c>
      <c r="E41" s="42">
        <f t="shared" si="0"/>
        <v>450.9699999999999</v>
      </c>
      <c r="F41" s="42">
        <f t="shared" si="1"/>
        <v>119.14663143989429</v>
      </c>
      <c r="G41" s="44">
        <f t="shared" si="8"/>
        <v>42.120000000000005</v>
      </c>
      <c r="H41" s="42">
        <f t="shared" si="9"/>
        <v>11.128137384412154</v>
      </c>
      <c r="I41" s="1">
        <v>24</v>
      </c>
      <c r="J41" s="42">
        <f t="shared" si="10"/>
        <v>42.120000000000005</v>
      </c>
      <c r="K41" s="42">
        <f t="shared" si="11"/>
        <v>11.128137384412154</v>
      </c>
      <c r="L41" s="1">
        <v>7</v>
      </c>
      <c r="M41" s="42">
        <f t="shared" si="12"/>
        <v>6.017142857142858</v>
      </c>
      <c r="N41" s="42">
        <f t="shared" si="13"/>
        <v>1.5897339120588792</v>
      </c>
      <c r="P41" s="89"/>
    </row>
    <row r="42" spans="1:16" ht="15">
      <c r="A42" s="39">
        <v>40322</v>
      </c>
      <c r="B42" s="1">
        <v>7</v>
      </c>
      <c r="C42" s="1">
        <v>45</v>
      </c>
      <c r="D42" s="1">
        <v>43</v>
      </c>
      <c r="E42" s="42">
        <f t="shared" si="0"/>
        <v>387.78999999999996</v>
      </c>
      <c r="F42" s="42">
        <f t="shared" si="1"/>
        <v>102.45442536327607</v>
      </c>
      <c r="G42" s="44">
        <f t="shared" si="8"/>
        <v>63.17999999999995</v>
      </c>
      <c r="H42" s="42">
        <f t="shared" si="9"/>
        <v>16.692206076618216</v>
      </c>
      <c r="I42" s="1">
        <v>23.5</v>
      </c>
      <c r="J42" s="42">
        <f t="shared" si="10"/>
        <v>64.52425531914888</v>
      </c>
      <c r="K42" s="42">
        <f t="shared" si="11"/>
        <v>17.047359397397326</v>
      </c>
      <c r="L42" s="1">
        <v>6</v>
      </c>
      <c r="M42" s="42">
        <f t="shared" si="12"/>
        <v>10.75404255319148</v>
      </c>
      <c r="N42" s="42">
        <f t="shared" si="13"/>
        <v>2.8412265662328875</v>
      </c>
      <c r="P42" s="90"/>
    </row>
    <row r="43" spans="1:16" ht="15">
      <c r="A43" s="39">
        <v>40323</v>
      </c>
      <c r="B43" s="1">
        <v>8</v>
      </c>
      <c r="C43" s="1">
        <v>0</v>
      </c>
      <c r="D43" s="1">
        <v>39</v>
      </c>
      <c r="E43" s="42">
        <f t="shared" si="0"/>
        <v>345.66999999999996</v>
      </c>
      <c r="F43" s="42">
        <f t="shared" si="1"/>
        <v>91.32628797886392</v>
      </c>
      <c r="G43" s="44">
        <f t="shared" si="8"/>
        <v>42.120000000000005</v>
      </c>
      <c r="H43" s="42">
        <f t="shared" si="9"/>
        <v>11.128137384412154</v>
      </c>
      <c r="I43" s="45">
        <v>24.25</v>
      </c>
      <c r="J43" s="42">
        <f t="shared" si="10"/>
        <v>41.685773195876294</v>
      </c>
      <c r="K43" s="42">
        <f t="shared" si="11"/>
        <v>11.013414318593473</v>
      </c>
      <c r="L43" s="1">
        <v>6</v>
      </c>
      <c r="M43" s="42">
        <f t="shared" si="12"/>
        <v>6.947628865979382</v>
      </c>
      <c r="N43" s="42">
        <f t="shared" si="13"/>
        <v>1.835569053098912</v>
      </c>
      <c r="P43" s="90"/>
    </row>
    <row r="44" spans="1:16" ht="15">
      <c r="A44" s="39">
        <v>40324</v>
      </c>
      <c r="B44" s="1">
        <v>8</v>
      </c>
      <c r="C44" s="1">
        <v>0</v>
      </c>
      <c r="D44" s="1">
        <v>34</v>
      </c>
      <c r="E44" s="42">
        <f t="shared" si="0"/>
        <v>293.02</v>
      </c>
      <c r="F44" s="42">
        <f t="shared" si="1"/>
        <v>77.41611624834874</v>
      </c>
      <c r="G44" s="44">
        <f t="shared" si="8"/>
        <v>52.64999999999998</v>
      </c>
      <c r="H44" s="42">
        <f t="shared" si="9"/>
        <v>13.910171730515184</v>
      </c>
      <c r="I44" s="1">
        <v>24</v>
      </c>
      <c r="J44" s="42">
        <f t="shared" si="10"/>
        <v>52.64999999999998</v>
      </c>
      <c r="K44" s="42">
        <f t="shared" si="11"/>
        <v>13.910171730515184</v>
      </c>
      <c r="L44" s="1">
        <v>7</v>
      </c>
      <c r="M44" s="42">
        <f t="shared" si="12"/>
        <v>7.521428571428568</v>
      </c>
      <c r="N44" s="42">
        <f t="shared" si="13"/>
        <v>1.9871673900735978</v>
      </c>
      <c r="P44" s="90"/>
    </row>
    <row r="45" spans="1:16" ht="15">
      <c r="A45" s="39">
        <v>40325</v>
      </c>
      <c r="B45" s="1">
        <v>8</v>
      </c>
      <c r="C45" s="1">
        <v>15</v>
      </c>
      <c r="D45" s="1">
        <v>28</v>
      </c>
      <c r="E45" s="42">
        <f t="shared" si="0"/>
        <v>229.83999999999997</v>
      </c>
      <c r="F45" s="42">
        <f t="shared" si="1"/>
        <v>60.72391017173051</v>
      </c>
      <c r="G45" s="44">
        <f t="shared" si="8"/>
        <v>63.18000000000001</v>
      </c>
      <c r="H45" s="42">
        <f t="shared" si="9"/>
        <v>16.69220607661823</v>
      </c>
      <c r="I45" s="1">
        <v>24</v>
      </c>
      <c r="J45" s="42">
        <f t="shared" si="10"/>
        <v>63.18000000000001</v>
      </c>
      <c r="K45" s="42">
        <f t="shared" si="11"/>
        <v>16.69220607661823</v>
      </c>
      <c r="L45" s="1">
        <v>7</v>
      </c>
      <c r="M45" s="42">
        <f t="shared" si="12"/>
        <v>9.025714285714287</v>
      </c>
      <c r="N45" s="42">
        <f t="shared" si="13"/>
        <v>2.384600868088319</v>
      </c>
      <c r="P45" s="90"/>
    </row>
    <row r="46" spans="1:16" ht="15">
      <c r="A46" s="39">
        <v>40325</v>
      </c>
      <c r="B46" s="1">
        <v>19</v>
      </c>
      <c r="C46" s="1">
        <v>0</v>
      </c>
      <c r="D46" s="1">
        <v>63</v>
      </c>
      <c r="E46" s="42">
        <f t="shared" si="0"/>
        <v>598.39</v>
      </c>
      <c r="F46" s="42">
        <f t="shared" si="1"/>
        <v>158.09511228533685</v>
      </c>
      <c r="I46" s="1">
        <v>10.75</v>
      </c>
      <c r="L46" s="1">
        <v>8</v>
      </c>
      <c r="O46" t="s">
        <v>45</v>
      </c>
      <c r="P46" s="90"/>
    </row>
    <row r="47" spans="1:16" ht="15">
      <c r="A47" s="39">
        <v>40326</v>
      </c>
      <c r="B47" s="1">
        <v>8</v>
      </c>
      <c r="C47" s="1">
        <v>0</v>
      </c>
      <c r="D47" s="1">
        <v>60</v>
      </c>
      <c r="E47" s="42">
        <f t="shared" si="0"/>
        <v>566.8</v>
      </c>
      <c r="F47" s="42">
        <f t="shared" si="1"/>
        <v>149.74900924702771</v>
      </c>
      <c r="G47" s="44">
        <f>E46-E47</f>
        <v>31.590000000000032</v>
      </c>
      <c r="H47" s="42">
        <f>G47/$B$4</f>
        <v>8.346103038309122</v>
      </c>
      <c r="I47" s="1">
        <v>13</v>
      </c>
      <c r="J47" s="42">
        <f>(G47/I47)*24</f>
        <v>58.32000000000006</v>
      </c>
      <c r="K47" s="42">
        <f>J47/$B$4</f>
        <v>15.408190224570689</v>
      </c>
      <c r="L47" s="1">
        <v>8</v>
      </c>
      <c r="M47" s="42">
        <f>J47/L47</f>
        <v>7.290000000000007</v>
      </c>
      <c r="N47" s="42">
        <f>M47/$B$4</f>
        <v>1.926023778071336</v>
      </c>
      <c r="P47" s="90"/>
    </row>
    <row r="48" spans="1:16" ht="15">
      <c r="A48" s="39">
        <v>40327</v>
      </c>
      <c r="B48" s="1">
        <v>8</v>
      </c>
      <c r="C48" s="1">
        <v>0</v>
      </c>
      <c r="D48" s="1">
        <v>50</v>
      </c>
      <c r="E48" s="42">
        <f t="shared" si="0"/>
        <v>461.5</v>
      </c>
      <c r="F48" s="42">
        <f t="shared" si="1"/>
        <v>121.92866578599735</v>
      </c>
      <c r="G48" s="44">
        <f>E47-E48</f>
        <v>105.29999999999995</v>
      </c>
      <c r="H48" s="42">
        <f>G48/$B$4</f>
        <v>27.82034346103037</v>
      </c>
      <c r="I48" s="1">
        <v>24</v>
      </c>
      <c r="J48" s="42">
        <f>(G48/I48)*24</f>
        <v>105.29999999999995</v>
      </c>
      <c r="K48" s="42">
        <f>J48/$B$4</f>
        <v>27.82034346103037</v>
      </c>
      <c r="L48" s="1">
        <v>7</v>
      </c>
      <c r="M48" s="42">
        <f>J48/L48</f>
        <v>15.042857142857136</v>
      </c>
      <c r="N48" s="42">
        <f>M48/$B$4</f>
        <v>3.9743347801471955</v>
      </c>
      <c r="P48" s="90"/>
    </row>
    <row r="49" spans="1:16" ht="15">
      <c r="A49" s="60">
        <v>40328</v>
      </c>
      <c r="B49" s="1">
        <v>7</v>
      </c>
      <c r="C49" s="1">
        <v>50</v>
      </c>
      <c r="D49" s="1">
        <v>46</v>
      </c>
      <c r="E49" s="42">
        <f t="shared" si="0"/>
        <v>419.38</v>
      </c>
      <c r="F49" s="42">
        <f t="shared" si="1"/>
        <v>110.8005284015852</v>
      </c>
      <c r="G49" s="44">
        <f>E48-E49</f>
        <v>42.120000000000005</v>
      </c>
      <c r="H49" s="42">
        <f>G49/$B$4</f>
        <v>11.128137384412154</v>
      </c>
      <c r="I49" s="1">
        <v>23.825</v>
      </c>
      <c r="J49" s="42">
        <f>(G49/I49)*24</f>
        <v>42.429380902413435</v>
      </c>
      <c r="K49" s="42">
        <f>J49/$B$4</f>
        <v>11.20987606404582</v>
      </c>
      <c r="L49" s="1">
        <v>7</v>
      </c>
      <c r="M49" s="42">
        <f>J49/L49</f>
        <v>6.061340128916205</v>
      </c>
      <c r="N49" s="42">
        <f>M49/$B$4</f>
        <v>1.6014108662922601</v>
      </c>
      <c r="P49" s="90"/>
    </row>
    <row r="50" spans="5:6" ht="15">
      <c r="E50" s="42"/>
      <c r="F50" s="42"/>
    </row>
    <row r="51" spans="5:7" ht="15">
      <c r="E51" s="42"/>
      <c r="G51" t="s">
        <v>162</v>
      </c>
    </row>
    <row r="52" spans="5:16" ht="15">
      <c r="E52" s="42"/>
      <c r="G52" t="s">
        <v>40</v>
      </c>
      <c r="H52" s="42">
        <f>H11+H12+H13+H15+H16+H17+H18</f>
        <v>109.89035667107002</v>
      </c>
      <c r="K52" t="s">
        <v>161</v>
      </c>
      <c r="L52" s="1">
        <f>(L11+L12+L13+L15+L16+L17+L18)/7</f>
        <v>6.857142857142857</v>
      </c>
      <c r="O52" s="79" t="s">
        <v>119</v>
      </c>
      <c r="P52" s="79"/>
    </row>
    <row r="53" spans="7:16" ht="15">
      <c r="G53" t="s">
        <v>157</v>
      </c>
      <c r="H53" s="42">
        <f>H20+H21+H22+H23+H24+H25</f>
        <v>82.07001321003963</v>
      </c>
      <c r="L53" s="1">
        <f>(L20+L21+L22+L23+L24+L25)/6</f>
        <v>6.166666666666667</v>
      </c>
      <c r="O53" s="79" t="s">
        <v>120</v>
      </c>
      <c r="P53" s="79"/>
    </row>
    <row r="54" spans="7:16" ht="15">
      <c r="G54" t="s">
        <v>158</v>
      </c>
      <c r="H54" s="42">
        <f>H26+H27+H28+H30+H31+H32</f>
        <v>73.72391017173054</v>
      </c>
      <c r="L54" s="1">
        <f>(L26+L27+L28+L30+L31+L32)/6</f>
        <v>6.333333333333333</v>
      </c>
      <c r="O54" s="80" t="s">
        <v>121</v>
      </c>
      <c r="P54" s="80" t="s">
        <v>122</v>
      </c>
    </row>
    <row r="55" spans="7:16" ht="15">
      <c r="G55" t="s">
        <v>159</v>
      </c>
      <c r="H55" s="42">
        <f>H34+H35+H36+H37+H39+H40+H41</f>
        <v>133.53764861294582</v>
      </c>
      <c r="L55" s="1">
        <f>(L34+L35+L36+L37+L39+L40+L41)/7</f>
        <v>7</v>
      </c>
      <c r="O55" s="80">
        <v>1</v>
      </c>
      <c r="P55" s="81">
        <f>AVERAGE(N11:N18)</f>
        <v>2.3344378111712634</v>
      </c>
    </row>
    <row r="56" spans="7:16" ht="15">
      <c r="G56" t="s">
        <v>160</v>
      </c>
      <c r="H56" s="42">
        <f>H42+H43+H44+H45+H47+H48+H49</f>
        <v>105.71730515191544</v>
      </c>
      <c r="L56" s="1">
        <f>(L42+L43+L44+L45+L47+L48+L49)/7</f>
        <v>6.857142857142857</v>
      </c>
      <c r="O56" s="80">
        <v>2</v>
      </c>
      <c r="P56" s="81">
        <f>AVERAGE(N20:N25)</f>
        <v>2.210308050694185</v>
      </c>
    </row>
    <row r="57" spans="7:16" ht="15">
      <c r="G57" t="s">
        <v>156</v>
      </c>
      <c r="H57" s="42">
        <f>H52+H53+H54+H55+H56</f>
        <v>504.9392338177015</v>
      </c>
      <c r="L57" s="1">
        <f>(L52+L53+L54+L55+L56)/5</f>
        <v>6.642857142857143</v>
      </c>
      <c r="O57" s="80">
        <v>3</v>
      </c>
      <c r="P57" s="81">
        <f>AVERAGE(N26:N32)</f>
        <v>1.9374154205844043</v>
      </c>
    </row>
    <row r="58" spans="15:16" ht="15">
      <c r="O58" s="80">
        <v>4</v>
      </c>
      <c r="P58" s="81">
        <f>AVERAGE(N34:N41)</f>
        <v>2.77137428519764</v>
      </c>
    </row>
    <row r="59" spans="15:16" ht="15">
      <c r="O59" s="80">
        <v>5</v>
      </c>
      <c r="P59" s="81">
        <f>AVERAGE(N42:N49)</f>
        <v>2.3643333288577866</v>
      </c>
    </row>
    <row r="60" spans="15:16" ht="15">
      <c r="O60" s="79"/>
      <c r="P60" s="79"/>
    </row>
    <row r="61" spans="15:16" ht="15">
      <c r="O61" s="79" t="s">
        <v>123</v>
      </c>
      <c r="P61" s="79"/>
    </row>
    <row r="62" spans="15:16" ht="15">
      <c r="O62" s="82">
        <v>504.9</v>
      </c>
      <c r="P62" s="79"/>
    </row>
    <row r="63" spans="15:16" ht="15">
      <c r="O63" s="79" t="s">
        <v>124</v>
      </c>
      <c r="P63" s="79"/>
    </row>
    <row r="64" spans="15:16" ht="15">
      <c r="O64">
        <f>AVERAGE(P55:P59)</f>
        <v>2.323573779301056</v>
      </c>
      <c r="P64" s="79"/>
    </row>
    <row r="65" spans="15:16" ht="15">
      <c r="O65" s="79" t="s">
        <v>125</v>
      </c>
      <c r="P65" s="79"/>
    </row>
    <row r="66" spans="15:16" ht="15">
      <c r="O66" s="82">
        <f>H57/35</f>
        <v>14.426835251934328</v>
      </c>
      <c r="P66" s="79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="90" zoomScaleNormal="90" zoomScaleSheetLayoutView="110" workbookViewId="0" topLeftCell="A1">
      <pane ySplit="8" topLeftCell="BM52" activePane="bottomLeft" state="frozen"/>
      <selection pane="topLeft" activeCell="A1" sqref="A1"/>
      <selection pane="bottomLeft" activeCell="F56" sqref="F56"/>
    </sheetView>
  </sheetViews>
  <sheetFormatPr defaultColWidth="9.140625" defaultRowHeight="15"/>
  <cols>
    <col min="1" max="1" width="14.7109375" style="1" customWidth="1"/>
    <col min="2" max="3" width="5.8515625" style="1" customWidth="1"/>
    <col min="4" max="4" width="12.7109375" style="1" customWidth="1"/>
    <col min="5" max="5" width="8.71093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7109375" style="1" customWidth="1"/>
    <col min="13" max="14" width="9.28125" style="0" customWidth="1"/>
    <col min="15" max="15" width="40.140625" style="0" customWidth="1"/>
    <col min="16" max="16384" width="11.8515625" style="0" customWidth="1"/>
  </cols>
  <sheetData>
    <row r="1" spans="1:14" ht="15">
      <c r="A1" s="46" t="s">
        <v>46</v>
      </c>
      <c r="B1" s="46"/>
      <c r="C1" s="46"/>
      <c r="D1" s="47"/>
      <c r="H1" s="48" t="s">
        <v>1</v>
      </c>
      <c r="I1" s="4"/>
      <c r="J1" s="4"/>
      <c r="K1" s="4"/>
      <c r="L1" s="4"/>
      <c r="M1" s="4"/>
      <c r="N1" s="4"/>
    </row>
    <row r="2" spans="1:14" ht="15">
      <c r="A2"/>
      <c r="B2"/>
      <c r="C2"/>
      <c r="D2" s="49"/>
      <c r="H2" s="4" t="s">
        <v>3</v>
      </c>
      <c r="I2" s="4"/>
      <c r="J2" s="4"/>
      <c r="K2" s="4"/>
      <c r="L2" s="4"/>
      <c r="M2" s="4"/>
      <c r="N2" s="4"/>
    </row>
    <row r="3" spans="1:14" ht="30">
      <c r="A3"/>
      <c r="B3"/>
      <c r="C3"/>
      <c r="D3" s="50" t="s">
        <v>4</v>
      </c>
      <c r="E3" s="51" t="s">
        <v>5</v>
      </c>
      <c r="F3" s="51" t="s">
        <v>6</v>
      </c>
      <c r="G3" s="11"/>
      <c r="H3" s="4" t="s">
        <v>12</v>
      </c>
      <c r="I3" s="4"/>
      <c r="J3" s="4"/>
      <c r="K3" s="4"/>
      <c r="L3" s="4"/>
      <c r="M3" s="4"/>
      <c r="N3" s="4"/>
    </row>
    <row r="4" spans="1:14" ht="15">
      <c r="A4"/>
      <c r="B4"/>
      <c r="C4"/>
      <c r="D4" s="52"/>
      <c r="E4" s="53">
        <v>3.78</v>
      </c>
      <c r="F4" s="19">
        <f>Calibrations!G16</f>
        <v>3.9187499999999997</v>
      </c>
      <c r="G4" s="11"/>
      <c r="H4" s="4" t="s">
        <v>13</v>
      </c>
      <c r="I4" s="4"/>
      <c r="J4" s="4"/>
      <c r="K4" s="4"/>
      <c r="L4" s="4"/>
      <c r="M4" s="4"/>
      <c r="N4" s="4"/>
    </row>
    <row r="5" spans="1:14" ht="15">
      <c r="A5"/>
      <c r="B5"/>
      <c r="C5"/>
      <c r="D5" s="54" t="s">
        <v>47</v>
      </c>
      <c r="E5" s="55">
        <v>0</v>
      </c>
      <c r="F5" s="56" t="s">
        <v>48</v>
      </c>
      <c r="G5" s="11"/>
      <c r="H5" s="4" t="s">
        <v>14</v>
      </c>
      <c r="I5" s="4"/>
      <c r="J5" s="4"/>
      <c r="K5" s="4"/>
      <c r="L5" s="4"/>
      <c r="M5" s="4"/>
      <c r="N5" s="4"/>
    </row>
    <row r="6" spans="1:12" ht="15">
      <c r="A6"/>
      <c r="B6"/>
      <c r="C6"/>
      <c r="D6" s="57"/>
      <c r="E6" s="31"/>
      <c r="F6" s="31"/>
      <c r="I6"/>
      <c r="L6"/>
    </row>
    <row r="7" spans="1:15" s="36" customFormat="1" ht="45">
      <c r="A7" s="36" t="s">
        <v>18</v>
      </c>
      <c r="B7" s="36" t="s">
        <v>19</v>
      </c>
      <c r="C7" s="36" t="s">
        <v>19</v>
      </c>
      <c r="D7" s="33" t="s">
        <v>20</v>
      </c>
      <c r="E7" s="38" t="s">
        <v>21</v>
      </c>
      <c r="F7" s="38" t="s">
        <v>22</v>
      </c>
      <c r="G7" s="38" t="s">
        <v>23</v>
      </c>
      <c r="H7" s="38" t="s">
        <v>23</v>
      </c>
      <c r="I7" s="58" t="s">
        <v>24</v>
      </c>
      <c r="J7" s="38" t="s">
        <v>49</v>
      </c>
      <c r="K7" s="38" t="s">
        <v>49</v>
      </c>
      <c r="L7" s="59" t="s">
        <v>26</v>
      </c>
      <c r="M7" s="38" t="s">
        <v>28</v>
      </c>
      <c r="N7" s="38" t="s">
        <v>28</v>
      </c>
      <c r="O7" s="36" t="s">
        <v>29</v>
      </c>
    </row>
    <row r="8" spans="1:14" s="36" customFormat="1" ht="30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34</v>
      </c>
      <c r="G8" s="36" t="s">
        <v>33</v>
      </c>
      <c r="H8" s="36" t="s">
        <v>34</v>
      </c>
      <c r="I8" s="33" t="s">
        <v>35</v>
      </c>
      <c r="J8" s="36" t="s">
        <v>36</v>
      </c>
      <c r="K8" s="36" t="s">
        <v>37</v>
      </c>
      <c r="L8" s="33"/>
      <c r="M8" s="38" t="s">
        <v>38</v>
      </c>
      <c r="N8" s="38" t="s">
        <v>39</v>
      </c>
    </row>
    <row r="9" spans="1:12" s="36" customFormat="1" ht="15">
      <c r="A9" s="32" t="s">
        <v>40</v>
      </c>
      <c r="B9" s="37"/>
      <c r="C9" s="37"/>
      <c r="D9" s="33"/>
      <c r="I9" s="33"/>
      <c r="L9" s="33"/>
    </row>
    <row r="10" spans="1:14" ht="15">
      <c r="A10" s="60">
        <v>40286</v>
      </c>
      <c r="B10" s="40">
        <v>13</v>
      </c>
      <c r="C10" s="40">
        <v>0</v>
      </c>
      <c r="D10" s="41">
        <v>2</v>
      </c>
      <c r="E10" s="42">
        <f aca="true" t="shared" si="0" ref="E10:E56">D10*$F$4+$E$5</f>
        <v>7.8374999999999995</v>
      </c>
      <c r="F10" s="42">
        <f aca="true" t="shared" si="1" ref="F10:F56">E10/$E$4</f>
        <v>2.0734126984126986</v>
      </c>
      <c r="G10" s="42"/>
      <c r="H10" s="42"/>
      <c r="I10" s="43"/>
      <c r="J10" s="42"/>
      <c r="K10" s="42"/>
      <c r="L10" s="41"/>
      <c r="M10" s="44"/>
      <c r="N10" s="44"/>
    </row>
    <row r="11" spans="1:16" ht="15">
      <c r="A11" s="60">
        <v>40287</v>
      </c>
      <c r="B11" s="40">
        <v>8</v>
      </c>
      <c r="C11" s="40">
        <v>0</v>
      </c>
      <c r="D11" s="41">
        <v>9</v>
      </c>
      <c r="E11" s="42">
        <f t="shared" si="0"/>
        <v>35.26875</v>
      </c>
      <c r="F11" s="42">
        <f t="shared" si="1"/>
        <v>9.330357142857142</v>
      </c>
      <c r="G11" s="42">
        <f>E11-E10</f>
        <v>27.43125</v>
      </c>
      <c r="H11" s="42">
        <f>G11/$E$4</f>
        <v>7.256944444444445</v>
      </c>
      <c r="I11" s="43">
        <v>17</v>
      </c>
      <c r="J11" s="42">
        <f>(G11/I11)*24</f>
        <v>38.726470588235294</v>
      </c>
      <c r="K11" s="42">
        <f>J11/$E$4</f>
        <v>10.245098039215687</v>
      </c>
      <c r="L11" s="41">
        <v>7</v>
      </c>
      <c r="M11" s="42">
        <f>J11/L11</f>
        <v>5.5323529411764705</v>
      </c>
      <c r="N11" s="42">
        <f>M11/$E$4</f>
        <v>1.4635854341736696</v>
      </c>
      <c r="P11" s="86"/>
    </row>
    <row r="12" spans="1:16" ht="15">
      <c r="A12" s="39">
        <v>40288</v>
      </c>
      <c r="B12" s="1">
        <v>8</v>
      </c>
      <c r="C12" s="1">
        <v>45</v>
      </c>
      <c r="D12" s="1">
        <v>17</v>
      </c>
      <c r="E12" s="42">
        <f t="shared" si="0"/>
        <v>66.61874999999999</v>
      </c>
      <c r="F12" s="42">
        <f t="shared" si="1"/>
        <v>17.624007936507937</v>
      </c>
      <c r="G12" s="42">
        <f>E12-E11</f>
        <v>31.349999999999994</v>
      </c>
      <c r="H12" s="42">
        <f>G12/$E$4</f>
        <v>8.293650793650793</v>
      </c>
      <c r="I12" s="1">
        <v>25</v>
      </c>
      <c r="J12" s="42">
        <f>(G12/I12)*24</f>
        <v>30.095999999999997</v>
      </c>
      <c r="K12" s="42">
        <f>J12/$E$4</f>
        <v>7.961904761904761</v>
      </c>
      <c r="L12" s="1">
        <v>7</v>
      </c>
      <c r="M12" s="42">
        <f>J12/L12</f>
        <v>4.299428571428571</v>
      </c>
      <c r="N12" s="42">
        <f>M12/$E$4</f>
        <v>1.1374149659863946</v>
      </c>
      <c r="P12" s="86"/>
    </row>
    <row r="13" spans="1:16" ht="15">
      <c r="A13" s="39">
        <v>40289</v>
      </c>
      <c r="B13" s="1">
        <v>8</v>
      </c>
      <c r="C13" s="1">
        <v>45</v>
      </c>
      <c r="D13" s="1">
        <v>5</v>
      </c>
      <c r="E13" s="42">
        <f t="shared" si="0"/>
        <v>19.59375</v>
      </c>
      <c r="F13" s="42">
        <f t="shared" si="1"/>
        <v>5.183531746031746</v>
      </c>
      <c r="G13" s="42"/>
      <c r="H13" s="42"/>
      <c r="I13" s="1">
        <v>1700</v>
      </c>
      <c r="J13" s="42"/>
      <c r="K13" s="42"/>
      <c r="L13" s="1">
        <v>7</v>
      </c>
      <c r="M13" s="42"/>
      <c r="N13" s="42"/>
      <c r="O13" t="s">
        <v>50</v>
      </c>
      <c r="P13" s="86"/>
    </row>
    <row r="14" spans="1:16" ht="15">
      <c r="A14" s="39">
        <v>40290</v>
      </c>
      <c r="B14" s="1">
        <v>8</v>
      </c>
      <c r="C14" s="1">
        <v>45</v>
      </c>
      <c r="D14" s="1">
        <v>7</v>
      </c>
      <c r="E14" s="42">
        <f t="shared" si="0"/>
        <v>27.43125</v>
      </c>
      <c r="F14" s="42">
        <f t="shared" si="1"/>
        <v>7.256944444444445</v>
      </c>
      <c r="G14" s="42">
        <f>E14-E13</f>
        <v>7.837499999999999</v>
      </c>
      <c r="H14" s="42">
        <f>G14/$E$4</f>
        <v>2.073412698412698</v>
      </c>
      <c r="I14" s="1">
        <v>24</v>
      </c>
      <c r="J14" s="42">
        <f>(G14/I14)*24</f>
        <v>7.837499999999999</v>
      </c>
      <c r="K14" s="42">
        <f>J14/$E$4</f>
        <v>2.073412698412698</v>
      </c>
      <c r="L14" s="1">
        <v>7</v>
      </c>
      <c r="M14" s="42">
        <f>J14/L14</f>
        <v>1.119642857142857</v>
      </c>
      <c r="N14" s="42">
        <f>M14/$E$4</f>
        <v>0.2962018140589569</v>
      </c>
      <c r="O14" t="s">
        <v>51</v>
      </c>
      <c r="P14" s="86"/>
    </row>
    <row r="15" spans="1:16" ht="15">
      <c r="A15" s="39">
        <v>40291</v>
      </c>
      <c r="B15" s="1">
        <v>8</v>
      </c>
      <c r="C15" s="1">
        <v>0</v>
      </c>
      <c r="D15" s="1">
        <v>10</v>
      </c>
      <c r="E15" s="42">
        <f t="shared" si="0"/>
        <v>39.1875</v>
      </c>
      <c r="F15" s="42">
        <f t="shared" si="1"/>
        <v>10.367063492063492</v>
      </c>
      <c r="G15" s="42">
        <f>E15-E14</f>
        <v>11.756250000000001</v>
      </c>
      <c r="H15" s="42">
        <f>G15/$E$4</f>
        <v>3.1101190476190483</v>
      </c>
      <c r="I15" s="1">
        <v>23.25</v>
      </c>
      <c r="J15" s="42">
        <f>(G15/I15)*24</f>
        <v>12.135483870967743</v>
      </c>
      <c r="K15" s="42">
        <f>J15/$E$4</f>
        <v>3.210445468509985</v>
      </c>
      <c r="L15" s="1">
        <v>6</v>
      </c>
      <c r="M15" s="42">
        <f>J15/L15</f>
        <v>2.0225806451612907</v>
      </c>
      <c r="N15" s="42">
        <f>M15/$E$4</f>
        <v>0.5350742447516642</v>
      </c>
      <c r="O15" t="s">
        <v>52</v>
      </c>
      <c r="P15" s="86"/>
    </row>
    <row r="16" spans="1:16" ht="15">
      <c r="A16" s="39">
        <v>40292</v>
      </c>
      <c r="B16" s="1">
        <v>8</v>
      </c>
      <c r="C16" s="1">
        <v>17</v>
      </c>
      <c r="D16" s="1">
        <v>26</v>
      </c>
      <c r="E16" s="42">
        <f t="shared" si="0"/>
        <v>101.88749999999999</v>
      </c>
      <c r="F16" s="42">
        <f t="shared" si="1"/>
        <v>26.95436507936508</v>
      </c>
      <c r="G16" s="42">
        <f>E16-E15</f>
        <v>62.69999999999999</v>
      </c>
      <c r="H16" s="42">
        <f>G16/$E$4</f>
        <v>16.587301587301585</v>
      </c>
      <c r="I16" s="1">
        <v>24</v>
      </c>
      <c r="J16" s="42">
        <f>(G16/I16)*24</f>
        <v>62.69999999999999</v>
      </c>
      <c r="K16" s="42">
        <f>J16/$E$4</f>
        <v>16.587301587301585</v>
      </c>
      <c r="L16" s="1">
        <v>7</v>
      </c>
      <c r="M16" s="42">
        <f>J16/L16</f>
        <v>8.957142857142856</v>
      </c>
      <c r="N16" s="42">
        <f>M16/$E$4</f>
        <v>2.369614512471655</v>
      </c>
      <c r="P16" s="86"/>
    </row>
    <row r="17" spans="1:16" ht="15">
      <c r="A17" s="39">
        <v>40292</v>
      </c>
      <c r="B17" s="1">
        <v>14</v>
      </c>
      <c r="C17" s="1">
        <v>0</v>
      </c>
      <c r="D17" s="1">
        <v>0</v>
      </c>
      <c r="E17" s="42">
        <f t="shared" si="0"/>
        <v>0</v>
      </c>
      <c r="F17" s="42">
        <f t="shared" si="1"/>
        <v>0</v>
      </c>
      <c r="G17" s="42"/>
      <c r="H17" s="42"/>
      <c r="I17" s="1">
        <v>6</v>
      </c>
      <c r="J17" s="42"/>
      <c r="K17" s="42"/>
      <c r="L17" s="1">
        <v>7</v>
      </c>
      <c r="M17" s="42"/>
      <c r="N17" s="42"/>
      <c r="O17" t="s">
        <v>53</v>
      </c>
      <c r="P17" s="86"/>
    </row>
    <row r="18" spans="1:16" ht="15">
      <c r="A18" s="39">
        <v>40293</v>
      </c>
      <c r="B18" s="1">
        <v>8</v>
      </c>
      <c r="C18" s="1">
        <v>8</v>
      </c>
      <c r="D18" s="1">
        <v>5</v>
      </c>
      <c r="E18" s="42">
        <f t="shared" si="0"/>
        <v>19.59375</v>
      </c>
      <c r="F18" s="42">
        <f t="shared" si="1"/>
        <v>5.183531746031746</v>
      </c>
      <c r="G18" s="42">
        <f>E18-E17</f>
        <v>19.59375</v>
      </c>
      <c r="H18" s="42">
        <f>G18/$E$4</f>
        <v>5.183531746031746</v>
      </c>
      <c r="I18" s="1">
        <v>18</v>
      </c>
      <c r="J18" s="42">
        <f>(G18/I18)*24</f>
        <v>26.125</v>
      </c>
      <c r="K18" s="42">
        <f>J18/$E$4</f>
        <v>6.911375661375661</v>
      </c>
      <c r="L18" s="1">
        <v>7</v>
      </c>
      <c r="M18" s="42">
        <f>J18/L18</f>
        <v>3.732142857142857</v>
      </c>
      <c r="N18" s="42">
        <f>M18/$E$4</f>
        <v>0.9873393801965231</v>
      </c>
      <c r="O18" t="s">
        <v>51</v>
      </c>
      <c r="P18" s="86"/>
    </row>
    <row r="19" spans="1:15" ht="15">
      <c r="A19" s="39">
        <v>40297</v>
      </c>
      <c r="B19" s="1">
        <v>15</v>
      </c>
      <c r="C19" s="1">
        <v>0</v>
      </c>
      <c r="D19" s="1">
        <v>0</v>
      </c>
      <c r="E19" s="42">
        <f t="shared" si="0"/>
        <v>0</v>
      </c>
      <c r="F19" s="42">
        <f t="shared" si="1"/>
        <v>0</v>
      </c>
      <c r="G19" s="42"/>
      <c r="H19" s="42"/>
      <c r="I19" s="1">
        <v>24</v>
      </c>
      <c r="J19" s="42"/>
      <c r="K19" s="42"/>
      <c r="L19" s="1">
        <v>6</v>
      </c>
      <c r="M19" s="42"/>
      <c r="N19" s="42"/>
      <c r="O19" t="s">
        <v>54</v>
      </c>
    </row>
    <row r="20" spans="1:16" ht="15">
      <c r="A20" s="39">
        <v>40298</v>
      </c>
      <c r="B20" s="1">
        <v>8</v>
      </c>
      <c r="C20" s="1">
        <v>23</v>
      </c>
      <c r="D20" s="1">
        <v>4</v>
      </c>
      <c r="E20" s="42">
        <f t="shared" si="0"/>
        <v>15.674999999999999</v>
      </c>
      <c r="F20" s="42">
        <f t="shared" si="1"/>
        <v>4.146825396825397</v>
      </c>
      <c r="G20" s="42">
        <f aca="true" t="shared" si="2" ref="G20:G25">E20-E19</f>
        <v>15.674999999999999</v>
      </c>
      <c r="H20" s="42">
        <f aca="true" t="shared" si="3" ref="H20:H25">G20/$E$4</f>
        <v>4.146825396825397</v>
      </c>
      <c r="I20" s="1">
        <v>24</v>
      </c>
      <c r="J20" s="42">
        <f>(G20/I20)*24</f>
        <v>15.674999999999999</v>
      </c>
      <c r="K20" s="42">
        <f>J20/$E$4</f>
        <v>4.146825396825397</v>
      </c>
      <c r="L20" s="1">
        <v>6</v>
      </c>
      <c r="M20" s="42">
        <f>J20/L20</f>
        <v>2.6125</v>
      </c>
      <c r="N20" s="42">
        <f>M20/$E$4</f>
        <v>0.6911375661375662</v>
      </c>
      <c r="P20" s="91"/>
    </row>
    <row r="21" spans="1:16" ht="15">
      <c r="A21" s="39">
        <v>40299</v>
      </c>
      <c r="B21" s="1">
        <v>8</v>
      </c>
      <c r="C21" s="1">
        <v>34</v>
      </c>
      <c r="D21" s="1">
        <v>6</v>
      </c>
      <c r="E21" s="42">
        <f t="shared" si="0"/>
        <v>23.5125</v>
      </c>
      <c r="F21" s="42">
        <f t="shared" si="1"/>
        <v>6.220238095238096</v>
      </c>
      <c r="G21" s="42">
        <f t="shared" si="2"/>
        <v>7.8375</v>
      </c>
      <c r="H21" s="42">
        <f t="shared" si="3"/>
        <v>2.0734126984126986</v>
      </c>
      <c r="I21" s="1">
        <v>24</v>
      </c>
      <c r="J21" s="42">
        <f>(G21/I21)*24</f>
        <v>7.8375</v>
      </c>
      <c r="K21" s="42">
        <f>J21/$E$4</f>
        <v>2.0734126984126986</v>
      </c>
      <c r="L21" s="1">
        <v>6</v>
      </c>
      <c r="M21" s="42">
        <f>J21/L21</f>
        <v>1.3062500000000001</v>
      </c>
      <c r="N21" s="42">
        <f>M21/$E$4</f>
        <v>0.34556878306878314</v>
      </c>
      <c r="P21" s="91"/>
    </row>
    <row r="22" spans="1:16" ht="15">
      <c r="A22" s="39">
        <v>40300</v>
      </c>
      <c r="B22" s="1">
        <v>8</v>
      </c>
      <c r="C22" s="1">
        <v>0</v>
      </c>
      <c r="D22" s="1">
        <v>10</v>
      </c>
      <c r="E22" s="42">
        <f t="shared" si="0"/>
        <v>39.1875</v>
      </c>
      <c r="F22" s="42">
        <f t="shared" si="1"/>
        <v>10.367063492063492</v>
      </c>
      <c r="G22" s="42">
        <f t="shared" si="2"/>
        <v>15.675</v>
      </c>
      <c r="H22" s="42">
        <f t="shared" si="3"/>
        <v>4.146825396825397</v>
      </c>
      <c r="I22" s="1">
        <v>23.5</v>
      </c>
      <c r="J22" s="42">
        <f>(G22/I22)*24</f>
        <v>16.008510638297874</v>
      </c>
      <c r="K22" s="42">
        <f>J22/$E$4</f>
        <v>4.235055724417427</v>
      </c>
      <c r="L22" s="1">
        <v>6</v>
      </c>
      <c r="M22" s="42">
        <f>J22/L22</f>
        <v>2.668085106382979</v>
      </c>
      <c r="N22" s="42">
        <f>M22/$E$4</f>
        <v>0.7058426207362378</v>
      </c>
      <c r="P22" s="91"/>
    </row>
    <row r="23" spans="1:16" ht="15">
      <c r="A23" s="39">
        <v>40301</v>
      </c>
      <c r="B23" s="1">
        <v>8</v>
      </c>
      <c r="C23" s="1">
        <v>14</v>
      </c>
      <c r="D23" s="1">
        <v>18</v>
      </c>
      <c r="E23" s="42">
        <f t="shared" si="0"/>
        <v>70.5375</v>
      </c>
      <c r="F23" s="42">
        <f t="shared" si="1"/>
        <v>18.660714285714285</v>
      </c>
      <c r="G23" s="42">
        <f t="shared" si="2"/>
        <v>31.349999999999994</v>
      </c>
      <c r="H23" s="42">
        <f t="shared" si="3"/>
        <v>8.293650793650793</v>
      </c>
      <c r="I23" s="1">
        <v>24.25</v>
      </c>
      <c r="J23" s="42">
        <f>(G23/I23)*24</f>
        <v>31.026804123711337</v>
      </c>
      <c r="K23" s="42">
        <f>J23/$E$4</f>
        <v>8.208149239077073</v>
      </c>
      <c r="L23" s="1">
        <v>6</v>
      </c>
      <c r="M23" s="42">
        <f>J23/L23</f>
        <v>5.171134020618556</v>
      </c>
      <c r="N23" s="42">
        <f>M23/$E$4</f>
        <v>1.3680248731795122</v>
      </c>
      <c r="P23" s="91"/>
    </row>
    <row r="24" spans="1:16" ht="15">
      <c r="A24" s="39">
        <v>40302</v>
      </c>
      <c r="B24" s="1">
        <v>8</v>
      </c>
      <c r="C24" s="1">
        <v>0</v>
      </c>
      <c r="D24" s="1">
        <v>26</v>
      </c>
      <c r="E24" s="42">
        <f t="shared" si="0"/>
        <v>101.88749999999999</v>
      </c>
      <c r="F24" s="42">
        <f t="shared" si="1"/>
        <v>26.95436507936508</v>
      </c>
      <c r="G24" s="42">
        <f t="shared" si="2"/>
        <v>31.349999999999994</v>
      </c>
      <c r="H24" s="42">
        <f t="shared" si="3"/>
        <v>8.293650793650793</v>
      </c>
      <c r="I24" s="1">
        <v>23.75</v>
      </c>
      <c r="J24" s="42">
        <f>(G24/I24)*24</f>
        <v>31.679999999999996</v>
      </c>
      <c r="K24" s="42">
        <f>J24/$E$4</f>
        <v>8.38095238095238</v>
      </c>
      <c r="L24" s="1">
        <v>6</v>
      </c>
      <c r="M24" s="42">
        <f>J24/L24</f>
        <v>5.279999999999999</v>
      </c>
      <c r="N24" s="42">
        <f>M24/$E$4</f>
        <v>1.3968253968253967</v>
      </c>
      <c r="P24" s="91"/>
    </row>
    <row r="25" spans="1:15" ht="15">
      <c r="A25" s="39">
        <v>40303</v>
      </c>
      <c r="B25" s="1">
        <v>8</v>
      </c>
      <c r="C25" s="1">
        <v>9</v>
      </c>
      <c r="D25" s="1">
        <v>26</v>
      </c>
      <c r="E25" s="42">
        <f t="shared" si="0"/>
        <v>101.88749999999999</v>
      </c>
      <c r="F25" s="42">
        <f t="shared" si="1"/>
        <v>26.95436507936508</v>
      </c>
      <c r="G25" s="42">
        <f t="shared" si="2"/>
        <v>0</v>
      </c>
      <c r="H25" s="42">
        <f t="shared" si="3"/>
        <v>0</v>
      </c>
      <c r="I25" s="1">
        <v>24</v>
      </c>
      <c r="J25" s="42"/>
      <c r="K25" s="42"/>
      <c r="L25" s="1">
        <v>7</v>
      </c>
      <c r="M25" s="42"/>
      <c r="N25" s="42"/>
      <c r="O25" t="s">
        <v>55</v>
      </c>
    </row>
    <row r="26" spans="1:14" ht="15">
      <c r="A26" s="39">
        <v>40303</v>
      </c>
      <c r="B26" s="1">
        <v>10</v>
      </c>
      <c r="C26" s="1">
        <v>0</v>
      </c>
      <c r="D26" s="1">
        <v>0</v>
      </c>
      <c r="E26" s="42">
        <f t="shared" si="0"/>
        <v>0</v>
      </c>
      <c r="F26" s="42">
        <f t="shared" si="1"/>
        <v>0</v>
      </c>
      <c r="G26" s="42"/>
      <c r="H26" s="42"/>
      <c r="I26" s="1">
        <v>2</v>
      </c>
      <c r="J26" s="42"/>
      <c r="K26" s="42"/>
      <c r="L26" s="1">
        <v>7</v>
      </c>
      <c r="M26" s="42"/>
      <c r="N26" s="42"/>
    </row>
    <row r="27" spans="1:16" ht="15">
      <c r="A27" s="39">
        <v>40304</v>
      </c>
      <c r="B27" s="1">
        <v>8</v>
      </c>
      <c r="C27" s="1">
        <v>15</v>
      </c>
      <c r="D27" s="1">
        <v>10</v>
      </c>
      <c r="E27" s="42">
        <f t="shared" si="0"/>
        <v>39.1875</v>
      </c>
      <c r="F27" s="42">
        <f t="shared" si="1"/>
        <v>10.367063492063492</v>
      </c>
      <c r="G27" s="42">
        <f>E27-E26</f>
        <v>39.1875</v>
      </c>
      <c r="H27" s="42">
        <f>G27/$E$4</f>
        <v>10.367063492063492</v>
      </c>
      <c r="I27" s="1">
        <v>10.4</v>
      </c>
      <c r="J27" s="42">
        <f>(G27/I27)*24</f>
        <v>90.43269230769229</v>
      </c>
      <c r="K27" s="42">
        <f>J27/$E$4</f>
        <v>23.92399267399267</v>
      </c>
      <c r="L27" s="1">
        <v>7</v>
      </c>
      <c r="M27" s="42">
        <f>J27/L27</f>
        <v>12.918956043956042</v>
      </c>
      <c r="N27" s="42">
        <f>M27/$E$4</f>
        <v>3.4177132391418104</v>
      </c>
      <c r="P27" s="92"/>
    </row>
    <row r="28" spans="1:16" ht="15">
      <c r="A28" s="39">
        <v>40305</v>
      </c>
      <c r="B28" s="1">
        <v>8</v>
      </c>
      <c r="C28" s="1">
        <v>0</v>
      </c>
      <c r="D28" s="1">
        <v>18</v>
      </c>
      <c r="E28" s="42">
        <f t="shared" si="0"/>
        <v>70.5375</v>
      </c>
      <c r="F28" s="42">
        <f t="shared" si="1"/>
        <v>18.660714285714285</v>
      </c>
      <c r="G28" s="42">
        <f>E28-E27</f>
        <v>31.349999999999994</v>
      </c>
      <c r="H28" s="42">
        <f>G28/$E$4</f>
        <v>8.293650793650793</v>
      </c>
      <c r="I28" s="1">
        <v>23.75</v>
      </c>
      <c r="J28" s="42">
        <f>(G28/I28)*24</f>
        <v>31.679999999999996</v>
      </c>
      <c r="K28" s="42">
        <f>J28/$E$4</f>
        <v>8.38095238095238</v>
      </c>
      <c r="L28" s="1">
        <v>7</v>
      </c>
      <c r="M28" s="42">
        <f>J28/L28</f>
        <v>4.525714285714285</v>
      </c>
      <c r="N28" s="42">
        <f>M28/$E$4</f>
        <v>1.1972789115646256</v>
      </c>
      <c r="P28" s="92"/>
    </row>
    <row r="29" spans="1:16" ht="15">
      <c r="A29" s="39">
        <v>40306</v>
      </c>
      <c r="B29" s="1">
        <v>9</v>
      </c>
      <c r="C29" s="1">
        <v>12</v>
      </c>
      <c r="D29" s="1">
        <v>23</v>
      </c>
      <c r="E29" s="42">
        <f t="shared" si="0"/>
        <v>90.13125</v>
      </c>
      <c r="F29" s="42">
        <f t="shared" si="1"/>
        <v>23.84424603174603</v>
      </c>
      <c r="G29" s="42">
        <f>E29-E28</f>
        <v>19.59375</v>
      </c>
      <c r="H29" s="42">
        <f>G29/$E$4</f>
        <v>5.183531746031746</v>
      </c>
      <c r="I29" s="1">
        <v>25.2</v>
      </c>
      <c r="J29" s="42">
        <f>(G29/I29)*24</f>
        <v>18.66071428571429</v>
      </c>
      <c r="K29" s="42">
        <f>J29/$E$4</f>
        <v>4.936696900982616</v>
      </c>
      <c r="L29" s="1">
        <v>6</v>
      </c>
      <c r="M29" s="42">
        <f>J29/L29</f>
        <v>3.110119047619048</v>
      </c>
      <c r="N29" s="42">
        <f>M29/$E$4</f>
        <v>0.822782816830436</v>
      </c>
      <c r="O29" t="s">
        <v>43</v>
      </c>
      <c r="P29" s="92"/>
    </row>
    <row r="30" spans="1:16" ht="15">
      <c r="A30" s="39">
        <v>40307</v>
      </c>
      <c r="B30" s="1">
        <v>8</v>
      </c>
      <c r="C30" s="1">
        <v>30</v>
      </c>
      <c r="D30" s="1">
        <v>25</v>
      </c>
      <c r="E30" s="42">
        <f t="shared" si="0"/>
        <v>97.96875</v>
      </c>
      <c r="F30" s="42">
        <f t="shared" si="1"/>
        <v>25.91765873015873</v>
      </c>
      <c r="G30" s="42">
        <f>E30-E29</f>
        <v>7.837500000000006</v>
      </c>
      <c r="H30" s="42">
        <f>G30/$E$4</f>
        <v>2.0734126984127</v>
      </c>
      <c r="I30" s="1">
        <v>23.75</v>
      </c>
      <c r="J30" s="42">
        <f>(G30/I30)*24</f>
        <v>7.920000000000005</v>
      </c>
      <c r="K30" s="42">
        <f>J30/$E$4</f>
        <v>2.0952380952380967</v>
      </c>
      <c r="L30" s="1">
        <v>4</v>
      </c>
      <c r="M30" s="42">
        <f>J30/L30</f>
        <v>1.9800000000000013</v>
      </c>
      <c r="N30" s="42">
        <f>M30/$E$4</f>
        <v>0.5238095238095242</v>
      </c>
      <c r="P30" s="92"/>
    </row>
    <row r="31" spans="1:16" ht="15">
      <c r="A31" s="39">
        <v>40307</v>
      </c>
      <c r="B31" s="1">
        <v>10</v>
      </c>
      <c r="C31" s="1">
        <v>0</v>
      </c>
      <c r="D31" s="1">
        <v>0</v>
      </c>
      <c r="E31" s="42">
        <f t="shared" si="0"/>
        <v>0</v>
      </c>
      <c r="F31" s="42">
        <f t="shared" si="1"/>
        <v>0</v>
      </c>
      <c r="H31" s="42"/>
      <c r="I31" s="1">
        <v>1.5</v>
      </c>
      <c r="J31" s="42"/>
      <c r="K31" s="42"/>
      <c r="L31" s="1">
        <v>4</v>
      </c>
      <c r="M31" s="42"/>
      <c r="N31" s="42"/>
      <c r="O31" t="s">
        <v>53</v>
      </c>
      <c r="P31" s="92"/>
    </row>
    <row r="32" spans="1:16" ht="15">
      <c r="A32" s="39">
        <v>40308</v>
      </c>
      <c r="B32" s="1">
        <v>8</v>
      </c>
      <c r="C32" s="1">
        <v>11</v>
      </c>
      <c r="D32" s="1">
        <v>5</v>
      </c>
      <c r="E32" s="42">
        <f t="shared" si="0"/>
        <v>19.59375</v>
      </c>
      <c r="F32" s="42">
        <f t="shared" si="1"/>
        <v>5.183531746031746</v>
      </c>
      <c r="G32" s="44">
        <f>E32-E31</f>
        <v>19.59375</v>
      </c>
      <c r="H32" s="42">
        <f>G32/$E$4</f>
        <v>5.183531746031746</v>
      </c>
      <c r="I32" s="1">
        <v>22.2</v>
      </c>
      <c r="J32" s="42">
        <f>(G32/I32)*24</f>
        <v>21.182432432432435</v>
      </c>
      <c r="K32" s="42">
        <f>J32/$E$4</f>
        <v>5.603818103818105</v>
      </c>
      <c r="L32" s="1">
        <v>6</v>
      </c>
      <c r="M32" s="42">
        <f>J32/L32</f>
        <v>3.5304054054054057</v>
      </c>
      <c r="N32" s="42">
        <f>M32/$E$4</f>
        <v>0.933969683969684</v>
      </c>
      <c r="P32" s="92"/>
    </row>
    <row r="33" spans="1:16" ht="15">
      <c r="A33" s="39">
        <v>40309</v>
      </c>
      <c r="B33" s="1">
        <v>8</v>
      </c>
      <c r="C33" s="1">
        <v>15</v>
      </c>
      <c r="D33" s="1">
        <v>10</v>
      </c>
      <c r="E33" s="42">
        <f t="shared" si="0"/>
        <v>39.1875</v>
      </c>
      <c r="F33" s="42">
        <f t="shared" si="1"/>
        <v>10.367063492063492</v>
      </c>
      <c r="G33" s="44">
        <f>E33-E32</f>
        <v>19.59375</v>
      </c>
      <c r="H33" s="42">
        <f>G33/$E$4</f>
        <v>5.183531746031746</v>
      </c>
      <c r="I33" s="1">
        <v>24</v>
      </c>
      <c r="J33" s="42">
        <f>(G33/I33)*24</f>
        <v>19.59375</v>
      </c>
      <c r="K33" s="42">
        <f>J33/$E$4</f>
        <v>5.183531746031746</v>
      </c>
      <c r="L33" s="1">
        <v>6</v>
      </c>
      <c r="M33" s="42">
        <f>J33/L33</f>
        <v>3.265625</v>
      </c>
      <c r="N33" s="42">
        <f>M33/$E$4</f>
        <v>0.8639219576719577</v>
      </c>
      <c r="P33" s="92"/>
    </row>
    <row r="34" spans="1:16" ht="15">
      <c r="A34" s="39">
        <v>40310</v>
      </c>
      <c r="B34" s="1">
        <v>8</v>
      </c>
      <c r="C34" s="1">
        <v>45</v>
      </c>
      <c r="D34" s="1">
        <v>20</v>
      </c>
      <c r="E34" s="42">
        <f t="shared" si="0"/>
        <v>78.375</v>
      </c>
      <c r="F34" s="42">
        <f t="shared" si="1"/>
        <v>20.734126984126984</v>
      </c>
      <c r="G34" s="44">
        <f>E34-E33</f>
        <v>39.1875</v>
      </c>
      <c r="H34" s="42">
        <f>G34/$E$4</f>
        <v>10.367063492063492</v>
      </c>
      <c r="I34" s="1">
        <v>24.5</v>
      </c>
      <c r="J34" s="42">
        <f>(G34/I34)*24</f>
        <v>38.38775510204081</v>
      </c>
      <c r="K34" s="42">
        <f>J34/$E$4</f>
        <v>10.155490767735666</v>
      </c>
      <c r="L34" s="1">
        <v>6</v>
      </c>
      <c r="M34" s="42">
        <f>J34/L34</f>
        <v>6.397959183673469</v>
      </c>
      <c r="N34" s="42">
        <f>M34/$E$4</f>
        <v>1.692581794622611</v>
      </c>
      <c r="P34" s="92"/>
    </row>
    <row r="35" spans="1:14" ht="15">
      <c r="A35" s="39">
        <v>40313</v>
      </c>
      <c r="B35" s="1">
        <v>9</v>
      </c>
      <c r="C35" s="1">
        <v>0</v>
      </c>
      <c r="D35" s="1">
        <v>0</v>
      </c>
      <c r="E35" s="42">
        <f t="shared" si="0"/>
        <v>0</v>
      </c>
      <c r="F35" s="42">
        <f t="shared" si="1"/>
        <v>0</v>
      </c>
      <c r="G35" s="44"/>
      <c r="H35" s="42"/>
      <c r="I35" s="1">
        <v>24.25</v>
      </c>
      <c r="J35" s="42"/>
      <c r="K35" s="42"/>
      <c r="L35" s="1">
        <v>7</v>
      </c>
      <c r="M35" s="42"/>
      <c r="N35" s="42"/>
    </row>
    <row r="36" spans="1:16" ht="15">
      <c r="A36" s="39">
        <v>40314</v>
      </c>
      <c r="B36" s="1">
        <v>1</v>
      </c>
      <c r="C36" s="1">
        <v>15</v>
      </c>
      <c r="D36" s="1">
        <v>3</v>
      </c>
      <c r="E36" s="42">
        <f t="shared" si="0"/>
        <v>11.75625</v>
      </c>
      <c r="F36" s="42">
        <f t="shared" si="1"/>
        <v>3.110119047619048</v>
      </c>
      <c r="G36" s="44">
        <f>E36-E35</f>
        <v>11.75625</v>
      </c>
      <c r="H36" s="42">
        <f>G36/$E$4</f>
        <v>3.110119047619048</v>
      </c>
      <c r="I36" s="1">
        <v>25.25</v>
      </c>
      <c r="J36" s="42">
        <f>(G36/I36)*24</f>
        <v>11.174257425742574</v>
      </c>
      <c r="K36" s="42">
        <f>J36/$E$4</f>
        <v>2.9561527581329563</v>
      </c>
      <c r="L36" s="1">
        <v>7</v>
      </c>
      <c r="M36" s="42">
        <f>J36/L36</f>
        <v>1.5963224893917964</v>
      </c>
      <c r="N36" s="42">
        <f>M36/$E$4</f>
        <v>0.42230753687613665</v>
      </c>
      <c r="P36" s="93"/>
    </row>
    <row r="37" spans="1:16" ht="15">
      <c r="A37" s="39">
        <v>40315</v>
      </c>
      <c r="B37" s="1">
        <v>8</v>
      </c>
      <c r="C37" s="1">
        <v>15</v>
      </c>
      <c r="D37" s="1">
        <v>8</v>
      </c>
      <c r="E37" s="42">
        <f t="shared" si="0"/>
        <v>31.349999999999998</v>
      </c>
      <c r="F37" s="42">
        <f t="shared" si="1"/>
        <v>8.293650793650794</v>
      </c>
      <c r="G37" s="44">
        <f>E37-E36</f>
        <v>19.59375</v>
      </c>
      <c r="H37" s="42">
        <f>G37/$E$4</f>
        <v>5.183531746031746</v>
      </c>
      <c r="I37" s="1">
        <v>19</v>
      </c>
      <c r="J37" s="42">
        <f>(G37/I37)*24</f>
        <v>24.75</v>
      </c>
      <c r="K37" s="42">
        <f>J37/$E$4</f>
        <v>6.547619047619048</v>
      </c>
      <c r="L37" s="1">
        <v>7</v>
      </c>
      <c r="M37" s="42">
        <f>J37/L37</f>
        <v>3.5357142857142856</v>
      </c>
      <c r="N37" s="42">
        <f>M37/$E$4</f>
        <v>0.935374149659864</v>
      </c>
      <c r="P37" s="93"/>
    </row>
    <row r="38" spans="1:16" ht="15">
      <c r="A38" s="39">
        <v>40316</v>
      </c>
      <c r="B38" s="1">
        <v>8</v>
      </c>
      <c r="C38" s="1">
        <v>0</v>
      </c>
      <c r="D38" s="1">
        <v>11</v>
      </c>
      <c r="E38" s="42">
        <f t="shared" si="0"/>
        <v>43.106249999999996</v>
      </c>
      <c r="F38" s="42">
        <f t="shared" si="1"/>
        <v>11.40376984126984</v>
      </c>
      <c r="G38" s="44">
        <f>E38-E37</f>
        <v>11.756249999999998</v>
      </c>
      <c r="H38" s="42">
        <f>G38/$E$4</f>
        <v>3.110119047619047</v>
      </c>
      <c r="I38" s="1">
        <v>23.75</v>
      </c>
      <c r="J38" s="42">
        <f>(G38/I38)*24</f>
        <v>11.879999999999997</v>
      </c>
      <c r="K38" s="42">
        <f>J38/$E$4</f>
        <v>3.1428571428571423</v>
      </c>
      <c r="L38" s="1">
        <v>7</v>
      </c>
      <c r="M38" s="42">
        <f>J38/L38</f>
        <v>1.6971428571428568</v>
      </c>
      <c r="N38" s="42">
        <f>M38/$E$4</f>
        <v>0.44897959183673464</v>
      </c>
      <c r="P38" s="93"/>
    </row>
    <row r="39" spans="1:16" ht="15">
      <c r="A39" s="39">
        <v>40317</v>
      </c>
      <c r="B39" s="1">
        <v>8</v>
      </c>
      <c r="C39" s="1">
        <v>0</v>
      </c>
      <c r="D39" s="1">
        <v>15</v>
      </c>
      <c r="E39" s="42">
        <f t="shared" si="0"/>
        <v>58.78124999999999</v>
      </c>
      <c r="F39" s="42">
        <f t="shared" si="1"/>
        <v>15.550595238095237</v>
      </c>
      <c r="G39" s="44">
        <f>E39-E38</f>
        <v>15.674999999999997</v>
      </c>
      <c r="H39" s="42">
        <f>G39/$E$4</f>
        <v>4.146825396825396</v>
      </c>
      <c r="I39" s="1">
        <v>24</v>
      </c>
      <c r="J39" s="42">
        <f>(G39/I39)*24</f>
        <v>15.674999999999997</v>
      </c>
      <c r="K39" s="42">
        <f>J39/$E$4</f>
        <v>4.146825396825396</v>
      </c>
      <c r="L39" s="1">
        <v>7</v>
      </c>
      <c r="M39" s="42">
        <f>J39/L39</f>
        <v>2.239285714285714</v>
      </c>
      <c r="N39" s="42">
        <f>M39/$E$4</f>
        <v>0.5924036281179138</v>
      </c>
      <c r="O39" t="s">
        <v>56</v>
      </c>
      <c r="P39" s="93"/>
    </row>
    <row r="40" spans="1:16" ht="15">
      <c r="A40" s="39">
        <v>40318</v>
      </c>
      <c r="B40" s="1">
        <v>7</v>
      </c>
      <c r="C40" s="1">
        <v>50</v>
      </c>
      <c r="D40" s="1">
        <v>26</v>
      </c>
      <c r="E40" s="42">
        <f t="shared" si="0"/>
        <v>101.88749999999999</v>
      </c>
      <c r="F40" s="42">
        <f t="shared" si="1"/>
        <v>26.95436507936508</v>
      </c>
      <c r="G40" s="44">
        <f>E40-E39</f>
        <v>43.106249999999996</v>
      </c>
      <c r="H40" s="42">
        <f>G40/$E$4</f>
        <v>11.40376984126984</v>
      </c>
      <c r="I40" s="1">
        <v>23.83</v>
      </c>
      <c r="J40" s="42">
        <f>(G40/I40)*24</f>
        <v>43.41376416281997</v>
      </c>
      <c r="K40" s="42">
        <f>J40/$E$4</f>
        <v>11.485122794396819</v>
      </c>
      <c r="L40" s="1">
        <v>7</v>
      </c>
      <c r="M40" s="42">
        <f>J40/L40</f>
        <v>6.201966308974282</v>
      </c>
      <c r="N40" s="42">
        <f>M40/$E$4</f>
        <v>1.6407318277709741</v>
      </c>
      <c r="P40" s="93"/>
    </row>
    <row r="41" spans="1:16" ht="15">
      <c r="A41" s="39">
        <v>40318</v>
      </c>
      <c r="B41" s="1">
        <v>9</v>
      </c>
      <c r="C41" s="1">
        <v>30</v>
      </c>
      <c r="D41" s="1">
        <v>0</v>
      </c>
      <c r="E41" s="42">
        <f t="shared" si="0"/>
        <v>0</v>
      </c>
      <c r="F41" s="42">
        <f t="shared" si="1"/>
        <v>0</v>
      </c>
      <c r="G41" s="44"/>
      <c r="H41" s="42"/>
      <c r="I41" s="1">
        <v>1.67</v>
      </c>
      <c r="J41" s="42"/>
      <c r="K41" s="42"/>
      <c r="L41" s="1">
        <v>7</v>
      </c>
      <c r="M41" s="42"/>
      <c r="N41" s="42"/>
      <c r="O41" t="s">
        <v>57</v>
      </c>
      <c r="P41" s="93"/>
    </row>
    <row r="42" spans="1:16" ht="15">
      <c r="A42" s="39">
        <v>40319</v>
      </c>
      <c r="B42" s="1">
        <v>8</v>
      </c>
      <c r="C42" s="1">
        <v>0</v>
      </c>
      <c r="D42" s="1">
        <v>8</v>
      </c>
      <c r="E42" s="42">
        <f t="shared" si="0"/>
        <v>31.349999999999998</v>
      </c>
      <c r="F42" s="42">
        <f t="shared" si="1"/>
        <v>8.293650793650794</v>
      </c>
      <c r="G42" s="44">
        <f>E42-E41</f>
        <v>31.349999999999998</v>
      </c>
      <c r="H42" s="42">
        <f>G42/$E$4</f>
        <v>8.293650793650794</v>
      </c>
      <c r="I42" s="1">
        <v>22.5</v>
      </c>
      <c r="J42" s="42">
        <f>(G42/I42)*24</f>
        <v>33.44</v>
      </c>
      <c r="K42" s="42">
        <f>J42/$E$4</f>
        <v>8.846560846560847</v>
      </c>
      <c r="L42" s="1">
        <v>7</v>
      </c>
      <c r="M42" s="42">
        <f>J42/L42</f>
        <v>4.777142857142857</v>
      </c>
      <c r="N42" s="42">
        <f>M42/$E$4</f>
        <v>1.2637944066515494</v>
      </c>
      <c r="O42" t="s">
        <v>58</v>
      </c>
      <c r="P42" s="93"/>
    </row>
    <row r="43" spans="1:16" ht="15">
      <c r="A43" s="39">
        <v>40320</v>
      </c>
      <c r="B43" s="1">
        <v>8</v>
      </c>
      <c r="C43" s="1">
        <v>15</v>
      </c>
      <c r="D43" s="1">
        <v>20</v>
      </c>
      <c r="E43" s="42">
        <f t="shared" si="0"/>
        <v>78.375</v>
      </c>
      <c r="F43" s="42">
        <f t="shared" si="1"/>
        <v>20.734126984126984</v>
      </c>
      <c r="G43" s="44">
        <f>E43-E42</f>
        <v>47.025000000000006</v>
      </c>
      <c r="H43" s="42">
        <f>G43/$E$4</f>
        <v>12.440476190476193</v>
      </c>
      <c r="I43" s="1">
        <v>24</v>
      </c>
      <c r="J43" s="42">
        <f>(G43/I43)*24</f>
        <v>47.025000000000006</v>
      </c>
      <c r="K43" s="42">
        <f>J43/$E$4</f>
        <v>12.440476190476193</v>
      </c>
      <c r="L43" s="1">
        <v>7</v>
      </c>
      <c r="M43" s="42">
        <f>J43/L43</f>
        <v>6.717857142857143</v>
      </c>
      <c r="N43" s="42">
        <f>M43/$E$4</f>
        <v>1.7772108843537417</v>
      </c>
      <c r="P43" s="93"/>
    </row>
    <row r="44" spans="1:16" ht="15">
      <c r="A44" s="39">
        <v>40321</v>
      </c>
      <c r="B44" s="1">
        <v>8</v>
      </c>
      <c r="C44" s="1">
        <v>15</v>
      </c>
      <c r="D44" s="1">
        <v>25</v>
      </c>
      <c r="E44" s="42">
        <f t="shared" si="0"/>
        <v>97.96875</v>
      </c>
      <c r="F44" s="42">
        <f t="shared" si="1"/>
        <v>25.91765873015873</v>
      </c>
      <c r="G44" s="44">
        <f>E44-E43</f>
        <v>19.59375</v>
      </c>
      <c r="H44" s="42">
        <f>G44/$E$4</f>
        <v>5.183531746031746</v>
      </c>
      <c r="I44" s="1">
        <v>24</v>
      </c>
      <c r="J44" s="42">
        <f>(G44/I44)*24</f>
        <v>19.59375</v>
      </c>
      <c r="K44" s="42">
        <f>J44/$E$4</f>
        <v>5.183531746031746</v>
      </c>
      <c r="L44" s="1">
        <v>7</v>
      </c>
      <c r="M44" s="42">
        <f>J44/L44</f>
        <v>2.799107142857143</v>
      </c>
      <c r="N44" s="42">
        <f>M44/$E$4</f>
        <v>0.7405045351473923</v>
      </c>
      <c r="P44" s="93"/>
    </row>
    <row r="45" spans="1:15" ht="15">
      <c r="A45" s="39">
        <v>40321</v>
      </c>
      <c r="B45" s="1">
        <v>9</v>
      </c>
      <c r="C45" s="1">
        <v>0</v>
      </c>
      <c r="D45" s="1">
        <v>0</v>
      </c>
      <c r="E45" s="42">
        <f t="shared" si="0"/>
        <v>0</v>
      </c>
      <c r="F45" s="42">
        <f t="shared" si="1"/>
        <v>0</v>
      </c>
      <c r="I45" s="1">
        <v>0.75</v>
      </c>
      <c r="L45" s="1">
        <v>6</v>
      </c>
      <c r="M45" s="42"/>
      <c r="O45" t="s">
        <v>59</v>
      </c>
    </row>
    <row r="46" spans="1:16" ht="15">
      <c r="A46" s="39">
        <v>40322</v>
      </c>
      <c r="B46" s="1">
        <v>7</v>
      </c>
      <c r="C46" s="1">
        <v>45</v>
      </c>
      <c r="D46" s="1">
        <v>10</v>
      </c>
      <c r="E46" s="42">
        <f t="shared" si="0"/>
        <v>39.1875</v>
      </c>
      <c r="F46" s="42">
        <f t="shared" si="1"/>
        <v>10.367063492063492</v>
      </c>
      <c r="G46" s="44">
        <f>E46-E45</f>
        <v>39.1875</v>
      </c>
      <c r="H46" s="42">
        <f>G46/$E$4</f>
        <v>10.367063492063492</v>
      </c>
      <c r="I46" s="1">
        <v>22.75</v>
      </c>
      <c r="J46" s="42">
        <f>(G46/I46)*24</f>
        <v>41.34065934065934</v>
      </c>
      <c r="K46" s="42">
        <f>J46/$E$4</f>
        <v>10.936682365253795</v>
      </c>
      <c r="L46" s="1">
        <v>6</v>
      </c>
      <c r="M46" s="42">
        <f>J46/L46</f>
        <v>6.8901098901098905</v>
      </c>
      <c r="N46" s="42">
        <f>M46/$E$4</f>
        <v>1.8227803942089658</v>
      </c>
      <c r="P46" s="94"/>
    </row>
    <row r="47" spans="1:16" ht="15">
      <c r="A47" s="39">
        <v>40323</v>
      </c>
      <c r="B47" s="1">
        <v>8</v>
      </c>
      <c r="C47" s="1">
        <v>0</v>
      </c>
      <c r="D47" s="1">
        <v>18</v>
      </c>
      <c r="E47" s="42">
        <f t="shared" si="0"/>
        <v>70.5375</v>
      </c>
      <c r="F47" s="42">
        <f t="shared" si="1"/>
        <v>18.660714285714285</v>
      </c>
      <c r="G47" s="44">
        <f>E47-E46</f>
        <v>31.349999999999994</v>
      </c>
      <c r="H47" s="42">
        <f>G47/$E$4</f>
        <v>8.293650793650793</v>
      </c>
      <c r="I47" s="1">
        <v>24.25</v>
      </c>
      <c r="J47" s="42">
        <f>(G47/I47)*24</f>
        <v>31.026804123711337</v>
      </c>
      <c r="K47" s="42">
        <f>J47/$E$4</f>
        <v>8.208149239077073</v>
      </c>
      <c r="L47" s="1">
        <v>6</v>
      </c>
      <c r="M47" s="42">
        <f>J47/L47</f>
        <v>5.171134020618556</v>
      </c>
      <c r="N47" s="42">
        <f>M47/$E$4</f>
        <v>1.3680248731795122</v>
      </c>
      <c r="P47" s="94"/>
    </row>
    <row r="48" spans="1:16" ht="15">
      <c r="A48" s="39">
        <v>40323</v>
      </c>
      <c r="B48" s="1">
        <v>10</v>
      </c>
      <c r="C48" s="1">
        <v>30</v>
      </c>
      <c r="D48" s="1">
        <v>0</v>
      </c>
      <c r="E48" s="42">
        <f t="shared" si="0"/>
        <v>0</v>
      </c>
      <c r="F48" s="42">
        <f t="shared" si="1"/>
        <v>0</v>
      </c>
      <c r="G48" s="44"/>
      <c r="H48" s="42"/>
      <c r="I48" s="1">
        <v>2.5</v>
      </c>
      <c r="J48" s="42"/>
      <c r="K48" s="42"/>
      <c r="L48" s="1">
        <v>6</v>
      </c>
      <c r="M48" s="42"/>
      <c r="N48" s="42"/>
      <c r="O48" t="s">
        <v>60</v>
      </c>
      <c r="P48" s="94"/>
    </row>
    <row r="49" spans="1:16" ht="15">
      <c r="A49" s="39">
        <v>40324</v>
      </c>
      <c r="B49" s="1">
        <v>8</v>
      </c>
      <c r="C49" s="1">
        <v>0</v>
      </c>
      <c r="D49" s="1">
        <v>5</v>
      </c>
      <c r="E49" s="42">
        <f t="shared" si="0"/>
        <v>19.59375</v>
      </c>
      <c r="F49" s="42">
        <f t="shared" si="1"/>
        <v>5.183531746031746</v>
      </c>
      <c r="G49" s="44">
        <f>E49-E48</f>
        <v>19.59375</v>
      </c>
      <c r="H49" s="42">
        <f>G49/$E$4</f>
        <v>5.183531746031746</v>
      </c>
      <c r="I49" s="1">
        <v>21.5</v>
      </c>
      <c r="J49" s="42">
        <f>(G49/I49)*24</f>
        <v>21.872093023255815</v>
      </c>
      <c r="K49" s="42">
        <f>J49/$E$4</f>
        <v>5.786267995570322</v>
      </c>
      <c r="L49" s="1">
        <v>7</v>
      </c>
      <c r="M49" s="42">
        <f>J49/L49</f>
        <v>3.1245847176079735</v>
      </c>
      <c r="N49" s="42">
        <f>M49/$E$4</f>
        <v>0.8266097136529031</v>
      </c>
      <c r="P49" s="94"/>
    </row>
    <row r="50" spans="1:16" ht="15">
      <c r="A50" s="39">
        <v>40325</v>
      </c>
      <c r="B50" s="1">
        <v>8</v>
      </c>
      <c r="C50" s="1">
        <v>15</v>
      </c>
      <c r="D50" s="1">
        <v>26</v>
      </c>
      <c r="E50" s="42">
        <f t="shared" si="0"/>
        <v>101.88749999999999</v>
      </c>
      <c r="F50" s="42">
        <f t="shared" si="1"/>
        <v>26.95436507936508</v>
      </c>
      <c r="G50" s="44">
        <f>E50-E49</f>
        <v>82.29374999999999</v>
      </c>
      <c r="H50" s="42">
        <f>G50/$E$4</f>
        <v>21.770833333333332</v>
      </c>
      <c r="I50" s="1">
        <v>24</v>
      </c>
      <c r="J50" s="42">
        <f>(G50/I50)*24</f>
        <v>82.29374999999999</v>
      </c>
      <c r="K50" s="42">
        <f>J50/$E$4</f>
        <v>21.770833333333332</v>
      </c>
      <c r="L50" s="1">
        <v>7</v>
      </c>
      <c r="M50" s="42">
        <f>J50/L50</f>
        <v>11.756249999999998</v>
      </c>
      <c r="N50" s="42">
        <f>M50/$E$4</f>
        <v>3.110119047619047</v>
      </c>
      <c r="P50" s="94"/>
    </row>
    <row r="51" spans="1:16" ht="15">
      <c r="A51" s="39">
        <v>40325</v>
      </c>
      <c r="B51" s="1">
        <v>19</v>
      </c>
      <c r="C51" s="1">
        <v>0</v>
      </c>
      <c r="D51" s="1">
        <v>35</v>
      </c>
      <c r="E51" s="42">
        <f t="shared" si="0"/>
        <v>137.15625</v>
      </c>
      <c r="F51" s="42">
        <f t="shared" si="1"/>
        <v>36.28472222222222</v>
      </c>
      <c r="G51" s="44">
        <f>E51-E50</f>
        <v>35.26875000000001</v>
      </c>
      <c r="H51" s="42">
        <f>G51/$E$4</f>
        <v>9.330357142857146</v>
      </c>
      <c r="I51" s="1">
        <v>10.75</v>
      </c>
      <c r="J51" s="42">
        <f>(G51/I51)*24</f>
        <v>78.73953488372096</v>
      </c>
      <c r="K51" s="42">
        <f>J51/$E$4</f>
        <v>20.830564784053166</v>
      </c>
      <c r="L51" s="1">
        <v>8</v>
      </c>
      <c r="M51" s="42">
        <f>J51/L51</f>
        <v>9.84244186046512</v>
      </c>
      <c r="N51" s="42">
        <f>M51/$E$4</f>
        <v>2.603820598006646</v>
      </c>
      <c r="P51" s="94"/>
    </row>
    <row r="52" spans="1:16" ht="15">
      <c r="A52" s="39">
        <v>40325</v>
      </c>
      <c r="B52" s="1">
        <v>19</v>
      </c>
      <c r="C52" s="1">
        <v>0</v>
      </c>
      <c r="D52" s="1">
        <v>0</v>
      </c>
      <c r="E52" s="42">
        <f t="shared" si="0"/>
        <v>0</v>
      </c>
      <c r="F52" s="42">
        <f t="shared" si="1"/>
        <v>0</v>
      </c>
      <c r="I52" s="1">
        <v>0</v>
      </c>
      <c r="L52" s="1">
        <v>8</v>
      </c>
      <c r="O52" t="s">
        <v>57</v>
      </c>
      <c r="P52" s="94"/>
    </row>
    <row r="53" spans="1:16" ht="15">
      <c r="A53" s="39">
        <v>40326</v>
      </c>
      <c r="B53" s="1">
        <v>8</v>
      </c>
      <c r="C53" s="1">
        <v>0</v>
      </c>
      <c r="D53" s="1">
        <v>5</v>
      </c>
      <c r="E53" s="42">
        <f t="shared" si="0"/>
        <v>19.59375</v>
      </c>
      <c r="F53" s="42">
        <f t="shared" si="1"/>
        <v>5.183531746031746</v>
      </c>
      <c r="G53" s="44">
        <f>E53-E52</f>
        <v>19.59375</v>
      </c>
      <c r="H53" s="42">
        <f>G53/$E$4</f>
        <v>5.183531746031746</v>
      </c>
      <c r="I53" s="1">
        <v>13</v>
      </c>
      <c r="J53" s="42">
        <f>(G53/I53)*24</f>
        <v>36.17307692307693</v>
      </c>
      <c r="K53" s="42">
        <f>J53/$E$4</f>
        <v>9.569597069597071</v>
      </c>
      <c r="L53" s="1">
        <v>8</v>
      </c>
      <c r="M53" s="42">
        <f>J53/L53</f>
        <v>4.521634615384616</v>
      </c>
      <c r="N53" s="42">
        <f>M53/$E$4</f>
        <v>1.196199633699634</v>
      </c>
      <c r="P53" s="94"/>
    </row>
    <row r="54" spans="1:16" ht="15">
      <c r="A54" s="39">
        <v>40327</v>
      </c>
      <c r="B54" s="1">
        <v>8</v>
      </c>
      <c r="C54" s="1">
        <v>0</v>
      </c>
      <c r="D54" s="1">
        <v>25</v>
      </c>
      <c r="E54" s="42">
        <f t="shared" si="0"/>
        <v>97.96875</v>
      </c>
      <c r="F54" s="42">
        <f t="shared" si="1"/>
        <v>25.91765873015873</v>
      </c>
      <c r="G54" s="44">
        <f>E54-E53</f>
        <v>78.375</v>
      </c>
      <c r="H54" s="42">
        <f>G54/$E$4</f>
        <v>20.734126984126984</v>
      </c>
      <c r="I54" s="1">
        <v>24</v>
      </c>
      <c r="J54" s="42">
        <f>(G54/I54)*24</f>
        <v>78.375</v>
      </c>
      <c r="K54" s="42">
        <f>J54/$E$4</f>
        <v>20.734126984126984</v>
      </c>
      <c r="L54" s="1">
        <v>7</v>
      </c>
      <c r="M54" s="42">
        <f>J54/L54</f>
        <v>11.196428571428571</v>
      </c>
      <c r="N54" s="42">
        <f>M54/$E$4</f>
        <v>2.9620181405895694</v>
      </c>
      <c r="O54" t="s">
        <v>61</v>
      </c>
      <c r="P54" s="94"/>
    </row>
    <row r="55" spans="1:16" ht="15">
      <c r="A55" s="60">
        <v>40328</v>
      </c>
      <c r="B55" s="1">
        <v>7</v>
      </c>
      <c r="C55" s="1">
        <v>50</v>
      </c>
      <c r="D55" s="1">
        <v>28</v>
      </c>
      <c r="E55" s="42">
        <f t="shared" si="0"/>
        <v>109.725</v>
      </c>
      <c r="F55" s="42">
        <f t="shared" si="1"/>
        <v>29.02777777777778</v>
      </c>
      <c r="G55" s="44">
        <f>E55-E54</f>
        <v>11.756249999999994</v>
      </c>
      <c r="H55" s="42">
        <f>G55/$E$4</f>
        <v>3.110119047619046</v>
      </c>
      <c r="I55" s="1">
        <v>23.825</v>
      </c>
      <c r="J55" s="42">
        <f>(G55/I55)*24</f>
        <v>11.84260230849947</v>
      </c>
      <c r="K55" s="42">
        <f>J55/$E$4</f>
        <v>3.1329635736771086</v>
      </c>
      <c r="L55" s="1">
        <v>7</v>
      </c>
      <c r="M55" s="42">
        <f>J55/L55</f>
        <v>1.6918003297856388</v>
      </c>
      <c r="N55" s="42">
        <f>M55/$E$4</f>
        <v>0.44756622481101555</v>
      </c>
      <c r="P55" s="94"/>
    </row>
    <row r="56" spans="4:6" ht="15">
      <c r="D56" s="1">
        <v>40</v>
      </c>
      <c r="E56" s="42">
        <f t="shared" si="0"/>
        <v>156.75</v>
      </c>
      <c r="F56" s="42">
        <f t="shared" si="1"/>
        <v>41.46825396825397</v>
      </c>
    </row>
    <row r="57" ht="15">
      <c r="G57" t="s">
        <v>162</v>
      </c>
    </row>
    <row r="58" spans="7:16" ht="15">
      <c r="G58" t="s">
        <v>40</v>
      </c>
      <c r="H58" s="42">
        <f>H11+H12+H14+H15+H16+H18</f>
        <v>42.504960317460316</v>
      </c>
      <c r="K58" t="s">
        <v>161</v>
      </c>
      <c r="L58" s="1">
        <f>(L11+L12+L14+L15+L16+L18)/6</f>
        <v>6.833333333333333</v>
      </c>
      <c r="O58" s="79" t="s">
        <v>126</v>
      </c>
      <c r="P58" s="79"/>
    </row>
    <row r="59" spans="7:16" ht="15">
      <c r="G59" t="s">
        <v>157</v>
      </c>
      <c r="H59" s="42">
        <f>H20+H21+H22+H23+H24</f>
        <v>26.954365079365076</v>
      </c>
      <c r="L59" s="1">
        <f>(L20+L21+L22+L23+L24)/5</f>
        <v>6</v>
      </c>
      <c r="O59" s="80" t="s">
        <v>121</v>
      </c>
      <c r="P59" s="80" t="s">
        <v>122</v>
      </c>
    </row>
    <row r="60" spans="7:16" ht="15">
      <c r="G60" t="s">
        <v>158</v>
      </c>
      <c r="H60" s="42">
        <f>H27+H28+H29+H30+H32+H33+H34</f>
        <v>46.651785714285715</v>
      </c>
      <c r="L60" s="1">
        <f>(L27+L28+L29+L30+L32+L33+L34)/7</f>
        <v>6</v>
      </c>
      <c r="O60" s="80">
        <v>1</v>
      </c>
      <c r="P60" s="81">
        <f>AVERAGE(N11:N18)</f>
        <v>1.1315383919398105</v>
      </c>
    </row>
    <row r="61" spans="7:16" ht="15">
      <c r="G61" t="s">
        <v>159</v>
      </c>
      <c r="H61" s="42">
        <f>H36+H37+H38+H39+H40+H42+H43+H44</f>
        <v>52.87202380952381</v>
      </c>
      <c r="L61" s="1">
        <f>(L36+L37+L38+L39+L40+L42+L43+L44)/8</f>
        <v>7</v>
      </c>
      <c r="O61" s="80">
        <v>2</v>
      </c>
      <c r="P61" s="81">
        <f>AVERAGE(N20:N24)</f>
        <v>0.9014798479894992</v>
      </c>
    </row>
    <row r="62" spans="7:16" ht="15">
      <c r="G62" t="s">
        <v>160</v>
      </c>
      <c r="H62" s="42">
        <f>H46+H47+H49+H50+H51+H53+H54+H55</f>
        <v>83.97321428571429</v>
      </c>
      <c r="L62" s="1">
        <f>(L46+L47+L49+L50+L51+L53+L54+L55)/8</f>
        <v>7</v>
      </c>
      <c r="O62" s="80">
        <v>3</v>
      </c>
      <c r="P62" s="81">
        <f>AVERAGE(N27:N34)</f>
        <v>1.3502939896586643</v>
      </c>
    </row>
    <row r="63" spans="7:16" ht="15">
      <c r="G63" t="s">
        <v>156</v>
      </c>
      <c r="H63" s="42">
        <f>H58+H59+H60+H61+H62</f>
        <v>252.95634920634922</v>
      </c>
      <c r="L63" s="1">
        <f>AVERAGE(L58:L62)</f>
        <v>6.5666666666666655</v>
      </c>
      <c r="O63" s="80">
        <v>4</v>
      </c>
      <c r="P63" s="81">
        <f>AVERAGE(N36:N44)</f>
        <v>0.9776633200517884</v>
      </c>
    </row>
    <row r="64" spans="15:16" ht="15">
      <c r="O64" s="80">
        <v>5</v>
      </c>
      <c r="P64" s="81">
        <f>AVERAGE(N46:N55)</f>
        <v>1.7921423282209115</v>
      </c>
    </row>
    <row r="65" spans="15:16" ht="15">
      <c r="O65" s="79"/>
      <c r="P65" s="79"/>
    </row>
    <row r="66" spans="15:16" ht="15">
      <c r="O66" s="79" t="s">
        <v>127</v>
      </c>
      <c r="P66" s="79"/>
    </row>
    <row r="67" spans="15:16" ht="15">
      <c r="O67" s="82">
        <v>253</v>
      </c>
      <c r="P67" s="79"/>
    </row>
    <row r="68" spans="15:16" ht="15">
      <c r="O68" s="79" t="s">
        <v>124</v>
      </c>
      <c r="P68" s="79"/>
    </row>
    <row r="69" spans="15:16" ht="15">
      <c r="O69" s="82">
        <f>AVERAGE(P60:P64)</f>
        <v>1.2306235755721346</v>
      </c>
      <c r="P69" s="79"/>
    </row>
    <row r="70" spans="15:16" ht="15">
      <c r="O70" s="79" t="s">
        <v>125</v>
      </c>
      <c r="P70" s="79"/>
    </row>
    <row r="71" spans="15:16" ht="15">
      <c r="O71" s="82">
        <f>O67/35</f>
        <v>7.228571428571429</v>
      </c>
      <c r="P71" s="79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="90" zoomScaleNormal="90" zoomScaleSheetLayoutView="110" workbookViewId="0" topLeftCell="A1">
      <pane ySplit="10" topLeftCell="BM57" activePane="bottomLeft" state="frozen"/>
      <selection pane="topLeft" activeCell="A1" sqref="A1"/>
      <selection pane="bottomLeft" activeCell="I72" sqref="G51:I72"/>
    </sheetView>
  </sheetViews>
  <sheetFormatPr defaultColWidth="9.140625" defaultRowHeight="15"/>
  <cols>
    <col min="1" max="1" width="10.7109375" style="61" customWidth="1"/>
    <col min="2" max="2" width="11.7109375" style="61" customWidth="1"/>
    <col min="3" max="3" width="10.421875" style="1" customWidth="1"/>
    <col min="4" max="4" width="8.7109375" style="1" customWidth="1"/>
    <col min="5" max="5" width="9.7109375" style="1" customWidth="1"/>
    <col min="6" max="7" width="12.28125" style="1" customWidth="1"/>
    <col min="8" max="8" width="18.00390625" style="1" customWidth="1"/>
    <col min="9" max="11" width="12.28125" style="1" customWidth="1"/>
    <col min="12" max="12" width="15.57421875" style="0" customWidth="1"/>
    <col min="13" max="13" width="13.7109375" style="0" customWidth="1"/>
    <col min="14" max="14" width="17.8515625" style="0" customWidth="1"/>
    <col min="15" max="15" width="11.28125" style="1" customWidth="1"/>
    <col min="16" max="16" width="13.00390625" style="1" customWidth="1"/>
    <col min="17" max="17" width="34.7109375" style="0" customWidth="1"/>
    <col min="18" max="16384" width="8.7109375" style="0" customWidth="1"/>
  </cols>
  <sheetData>
    <row r="1" spans="1:16" ht="15">
      <c r="A1" s="62" t="s">
        <v>62</v>
      </c>
      <c r="C1"/>
      <c r="D1"/>
      <c r="E1"/>
      <c r="F1"/>
      <c r="G1"/>
      <c r="H1"/>
      <c r="I1"/>
      <c r="J1"/>
      <c r="K1"/>
      <c r="O1"/>
      <c r="P1"/>
    </row>
    <row r="2" spans="1:16" ht="15">
      <c r="A2" s="62"/>
      <c r="C2"/>
      <c r="D2"/>
      <c r="E2"/>
      <c r="F2"/>
      <c r="G2"/>
      <c r="H2"/>
      <c r="I2"/>
      <c r="J2"/>
      <c r="K2"/>
      <c r="L2" t="s">
        <v>63</v>
      </c>
      <c r="M2">
        <v>330</v>
      </c>
      <c r="N2" t="s">
        <v>48</v>
      </c>
      <c r="O2"/>
      <c r="P2"/>
    </row>
    <row r="3" spans="1:16" ht="15">
      <c r="A3" s="62" t="s">
        <v>64</v>
      </c>
      <c r="C3"/>
      <c r="D3"/>
      <c r="E3"/>
      <c r="F3"/>
      <c r="G3" t="s">
        <v>172</v>
      </c>
      <c r="H3">
        <v>6.6</v>
      </c>
      <c r="I3" t="s">
        <v>173</v>
      </c>
      <c r="J3"/>
      <c r="K3"/>
      <c r="M3" s="1">
        <f>M2/3.78</f>
        <v>87.30158730158729</v>
      </c>
      <c r="N3" t="s">
        <v>65</v>
      </c>
      <c r="O3"/>
      <c r="P3"/>
    </row>
    <row r="4" spans="1:16" ht="15">
      <c r="A4" s="63" t="s">
        <v>66</v>
      </c>
      <c r="B4" s="64">
        <v>48</v>
      </c>
      <c r="C4" t="s">
        <v>67</v>
      </c>
      <c r="D4"/>
      <c r="E4"/>
      <c r="F4"/>
      <c r="G4"/>
      <c r="H4"/>
      <c r="I4" t="s">
        <v>174</v>
      </c>
      <c r="J4">
        <f>H3*12</f>
        <v>79.19999999999999</v>
      </c>
      <c r="K4"/>
      <c r="O4"/>
      <c r="P4"/>
    </row>
    <row r="5" spans="1:16" ht="15">
      <c r="A5" s="63" t="s">
        <v>68</v>
      </c>
      <c r="B5" s="64">
        <v>1.1</v>
      </c>
      <c r="C5" t="s">
        <v>69</v>
      </c>
      <c r="D5"/>
      <c r="E5"/>
      <c r="F5"/>
      <c r="G5"/>
      <c r="H5"/>
      <c r="I5" t="s">
        <v>175</v>
      </c>
      <c r="J5">
        <f>(J4/1000)*24</f>
        <v>1.9007999999999998</v>
      </c>
      <c r="K5"/>
      <c r="O5"/>
      <c r="P5"/>
    </row>
    <row r="6" spans="1:16" ht="15">
      <c r="A6" s="62" t="s">
        <v>171</v>
      </c>
      <c r="B6" s="61">
        <v>3600000</v>
      </c>
      <c r="C6"/>
      <c r="D6"/>
      <c r="E6"/>
      <c r="F6"/>
      <c r="G6"/>
      <c r="H6"/>
      <c r="I6" t="s">
        <v>177</v>
      </c>
      <c r="J6">
        <f>J5*35</f>
        <v>66.52799999999999</v>
      </c>
      <c r="K6"/>
      <c r="O6"/>
      <c r="P6"/>
    </row>
    <row r="7" spans="1:16" ht="15">
      <c r="A7" s="62"/>
      <c r="C7"/>
      <c r="D7"/>
      <c r="E7"/>
      <c r="F7"/>
      <c r="G7"/>
      <c r="H7"/>
      <c r="I7" t="s">
        <v>176</v>
      </c>
      <c r="J7">
        <f>J6/K47</f>
        <v>42.6741908735351</v>
      </c>
      <c r="K7"/>
      <c r="O7"/>
      <c r="P7" t="s">
        <v>70</v>
      </c>
    </row>
    <row r="8" spans="1:16" ht="15">
      <c r="A8" s="65"/>
      <c r="C8" s="29"/>
      <c r="D8" s="29"/>
      <c r="E8" s="29"/>
      <c r="F8" s="46" t="s">
        <v>71</v>
      </c>
      <c r="G8" s="46"/>
      <c r="H8" s="46"/>
      <c r="I8" s="46"/>
      <c r="J8" s="46"/>
      <c r="K8" s="46"/>
      <c r="O8"/>
      <c r="P8"/>
    </row>
    <row r="9" spans="1:17" s="46" customFormat="1" ht="30">
      <c r="A9" s="62" t="s">
        <v>18</v>
      </c>
      <c r="B9" s="62" t="s">
        <v>19</v>
      </c>
      <c r="C9" s="66" t="s">
        <v>72</v>
      </c>
      <c r="D9" s="66"/>
      <c r="E9" s="66" t="s">
        <v>163</v>
      </c>
      <c r="F9" s="67" t="s">
        <v>73</v>
      </c>
      <c r="G9" s="67" t="s">
        <v>165</v>
      </c>
      <c r="H9" s="67" t="s">
        <v>167</v>
      </c>
      <c r="I9" s="67" t="s">
        <v>168</v>
      </c>
      <c r="J9" s="67" t="s">
        <v>169</v>
      </c>
      <c r="K9" s="67" t="s">
        <v>170</v>
      </c>
      <c r="L9" s="68" t="s">
        <v>74</v>
      </c>
      <c r="M9" s="46" t="s">
        <v>75</v>
      </c>
      <c r="N9" s="46" t="s">
        <v>76</v>
      </c>
      <c r="O9" s="32" t="s">
        <v>77</v>
      </c>
      <c r="P9" s="32" t="s">
        <v>78</v>
      </c>
      <c r="Q9" s="46" t="s">
        <v>29</v>
      </c>
    </row>
    <row r="10" spans="1:16" s="46" customFormat="1" ht="15">
      <c r="A10" s="62"/>
      <c r="B10" s="62"/>
      <c r="C10" s="69" t="s">
        <v>79</v>
      </c>
      <c r="D10" s="69" t="s">
        <v>31</v>
      </c>
      <c r="E10" s="69" t="s">
        <v>164</v>
      </c>
      <c r="F10" s="32" t="s">
        <v>80</v>
      </c>
      <c r="G10" s="32" t="s">
        <v>166</v>
      </c>
      <c r="H10" s="32"/>
      <c r="I10" s="32"/>
      <c r="J10" s="32"/>
      <c r="K10" s="32"/>
      <c r="L10" s="70" t="s">
        <v>81</v>
      </c>
      <c r="M10" s="70" t="s">
        <v>81</v>
      </c>
      <c r="N10" s="70" t="s">
        <v>81</v>
      </c>
      <c r="O10" s="69" t="s">
        <v>80</v>
      </c>
      <c r="P10" s="69" t="s">
        <v>82</v>
      </c>
    </row>
    <row r="11" spans="1:16" ht="23.25" customHeight="1">
      <c r="A11" s="71">
        <v>40286</v>
      </c>
      <c r="B11" s="72">
        <v>0.25</v>
      </c>
      <c r="C11" s="30">
        <v>420</v>
      </c>
      <c r="D11" s="30">
        <v>0</v>
      </c>
      <c r="E11" s="30"/>
      <c r="F11" s="30">
        <v>35685</v>
      </c>
      <c r="G11" s="30"/>
      <c r="H11" s="30"/>
      <c r="I11" s="30"/>
      <c r="J11" s="30"/>
      <c r="K11" s="30"/>
      <c r="L11" s="29">
        <v>0</v>
      </c>
      <c r="M11" s="95"/>
      <c r="N11" s="24">
        <v>87.3</v>
      </c>
      <c r="O11" s="30">
        <v>6318.5</v>
      </c>
      <c r="P11" s="30">
        <v>40945</v>
      </c>
    </row>
    <row r="12" spans="1:16" ht="23.25" customHeight="1">
      <c r="A12" s="73">
        <v>40287</v>
      </c>
      <c r="B12" s="74">
        <v>0.3020833333333333</v>
      </c>
      <c r="C12" s="1">
        <v>424</v>
      </c>
      <c r="D12" s="1">
        <v>50</v>
      </c>
      <c r="E12" s="1">
        <f>(C12+(D12/60))-(C11+(D11/60))</f>
        <v>4.833333333333314</v>
      </c>
      <c r="F12" s="1">
        <v>35770.4</v>
      </c>
      <c r="G12" s="1">
        <f>F12-F11</f>
        <v>85.40000000000146</v>
      </c>
      <c r="H12" s="1">
        <f>(G12*48)*3600</f>
        <v>14757120.000000251</v>
      </c>
      <c r="I12" s="1">
        <f>(H12/(E12*3600))/1000</f>
        <v>0.8481103448276041</v>
      </c>
      <c r="J12" s="1">
        <f>H12/3600000</f>
        <v>4.09920000000007</v>
      </c>
      <c r="K12" s="1">
        <f>J12/(E12*1.1)</f>
        <v>0.7710094043887309</v>
      </c>
      <c r="L12" s="44">
        <f aca="true" t="shared" si="0" ref="L12:L44">((C12+(D12/60))-(C11+(D11/60)))*1.1</f>
        <v>5.316666666666646</v>
      </c>
      <c r="M12" s="96">
        <f aca="true" t="shared" si="1" ref="M12:M44">L12+M11</f>
        <v>5.316666666666646</v>
      </c>
      <c r="N12" s="31">
        <f aca="true" t="shared" si="2" ref="N12:N17">N11-L12</f>
        <v>81.98333333333335</v>
      </c>
      <c r="O12" s="1">
        <v>6452.5</v>
      </c>
      <c r="P12" s="1">
        <v>41079.2</v>
      </c>
    </row>
    <row r="13" spans="1:16" ht="23.25" customHeight="1">
      <c r="A13" s="73">
        <v>40288</v>
      </c>
      <c r="B13" s="74">
        <v>0.3541666666666667</v>
      </c>
      <c r="C13" s="1">
        <v>430</v>
      </c>
      <c r="D13" s="1">
        <v>52</v>
      </c>
      <c r="E13" s="1">
        <f aca="true" t="shared" si="3" ref="E13:E46">(C13+(D13/60))-(C12+(D12/60))</f>
        <v>6.03333333333336</v>
      </c>
      <c r="F13" s="1">
        <v>35986.4</v>
      </c>
      <c r="G13" s="1">
        <f aca="true" t="shared" si="4" ref="G13:G46">F13-F12</f>
        <v>216</v>
      </c>
      <c r="H13" s="1">
        <f aca="true" t="shared" si="5" ref="H13:H46">(G13*48)*3600</f>
        <v>37324800</v>
      </c>
      <c r="I13" s="1">
        <f aca="true" t="shared" si="6" ref="I13:I46">(H13/(E13*3600))/1000</f>
        <v>1.7184530386740258</v>
      </c>
      <c r="J13" s="1">
        <f aca="true" t="shared" si="7" ref="J13:J46">H13/3600000</f>
        <v>10.368</v>
      </c>
      <c r="K13" s="1">
        <f aca="true" t="shared" si="8" ref="K13:K46">J13/(E13*1.1)</f>
        <v>1.562230035158205</v>
      </c>
      <c r="L13" s="44">
        <f t="shared" si="0"/>
        <v>6.636666666666696</v>
      </c>
      <c r="M13" s="96">
        <f t="shared" si="1"/>
        <v>11.953333333333342</v>
      </c>
      <c r="N13" s="31">
        <f t="shared" si="2"/>
        <v>75.34666666666665</v>
      </c>
      <c r="O13" s="1">
        <v>134.2</v>
      </c>
      <c r="P13" s="1">
        <v>41314.2</v>
      </c>
    </row>
    <row r="14" spans="1:17" ht="23.25" customHeight="1">
      <c r="A14" s="73">
        <v>40289</v>
      </c>
      <c r="B14" s="74">
        <v>0.3576388888888889</v>
      </c>
      <c r="C14" s="1">
        <v>434</v>
      </c>
      <c r="D14" s="1">
        <v>43</v>
      </c>
      <c r="E14" s="1">
        <f t="shared" si="3"/>
        <v>3.849999999999966</v>
      </c>
      <c r="F14" s="1">
        <v>36116.5</v>
      </c>
      <c r="G14" s="1">
        <f t="shared" si="4"/>
        <v>130.09999999999854</v>
      </c>
      <c r="H14" s="1">
        <f t="shared" si="5"/>
        <v>22481279.999999747</v>
      </c>
      <c r="I14" s="1">
        <f t="shared" si="6"/>
        <v>1.6220259740259704</v>
      </c>
      <c r="J14" s="1">
        <f t="shared" si="7"/>
        <v>6.2447999999999295</v>
      </c>
      <c r="K14" s="1">
        <f t="shared" si="8"/>
        <v>1.4745690672963363</v>
      </c>
      <c r="L14" s="44">
        <f t="shared" si="0"/>
        <v>4.234999999999963</v>
      </c>
      <c r="M14" s="96">
        <f t="shared" si="1"/>
        <v>16.188333333333304</v>
      </c>
      <c r="N14" s="31">
        <f t="shared" si="2"/>
        <v>71.1116666666667</v>
      </c>
      <c r="O14" s="1">
        <v>131.8</v>
      </c>
      <c r="P14" s="1">
        <v>41456.8</v>
      </c>
      <c r="Q14" t="s">
        <v>83</v>
      </c>
    </row>
    <row r="15" spans="1:17" ht="23.25" customHeight="1">
      <c r="A15" s="73">
        <v>40290</v>
      </c>
      <c r="B15" s="74">
        <v>0.4166666666666667</v>
      </c>
      <c r="C15" s="1">
        <v>437</v>
      </c>
      <c r="D15" s="1">
        <v>0</v>
      </c>
      <c r="E15" s="1">
        <f t="shared" si="3"/>
        <v>2.28333333333336</v>
      </c>
      <c r="F15" s="1">
        <v>36231.5</v>
      </c>
      <c r="G15" s="1">
        <f t="shared" si="4"/>
        <v>115</v>
      </c>
      <c r="H15" s="1">
        <f t="shared" si="5"/>
        <v>19872000</v>
      </c>
      <c r="I15" s="1">
        <f t="shared" si="6"/>
        <v>2.4175182481751545</v>
      </c>
      <c r="J15" s="1">
        <f t="shared" si="7"/>
        <v>5.52</v>
      </c>
      <c r="K15" s="1">
        <f t="shared" si="8"/>
        <v>2.1977438619774126</v>
      </c>
      <c r="L15" s="44">
        <f t="shared" si="0"/>
        <v>2.511666666666696</v>
      </c>
      <c r="M15" s="96">
        <f t="shared" si="1"/>
        <v>18.7</v>
      </c>
      <c r="N15" s="31">
        <f t="shared" si="2"/>
        <v>68.6</v>
      </c>
      <c r="O15" s="1">
        <v>200.3</v>
      </c>
      <c r="P15" s="1">
        <v>41525.3</v>
      </c>
      <c r="Q15" t="s">
        <v>84</v>
      </c>
    </row>
    <row r="16" spans="1:16" ht="23.25" customHeight="1">
      <c r="A16" s="73">
        <v>40291</v>
      </c>
      <c r="B16" s="74">
        <v>0.34930555555555554</v>
      </c>
      <c r="C16" s="1">
        <v>441</v>
      </c>
      <c r="D16" s="1">
        <v>0</v>
      </c>
      <c r="E16" s="1">
        <f t="shared" si="3"/>
        <v>4</v>
      </c>
      <c r="F16" s="1">
        <v>36376.6</v>
      </c>
      <c r="G16" s="1">
        <f t="shared" si="4"/>
        <v>145.09999999999854</v>
      </c>
      <c r="H16" s="1">
        <f t="shared" si="5"/>
        <v>25073279.999999747</v>
      </c>
      <c r="I16" s="1">
        <f t="shared" si="6"/>
        <v>1.7411999999999823</v>
      </c>
      <c r="J16" s="1">
        <f t="shared" si="7"/>
        <v>6.964799999999929</v>
      </c>
      <c r="K16" s="1">
        <f t="shared" si="8"/>
        <v>1.5829090909090746</v>
      </c>
      <c r="L16" s="44">
        <f t="shared" si="0"/>
        <v>4.4</v>
      </c>
      <c r="M16" s="96">
        <f t="shared" si="1"/>
        <v>23.1</v>
      </c>
      <c r="N16" s="31">
        <f t="shared" si="2"/>
        <v>64.19999999999999</v>
      </c>
      <c r="O16" s="1">
        <v>407.5</v>
      </c>
      <c r="P16" s="1">
        <v>41732.5</v>
      </c>
    </row>
    <row r="17" spans="1:16" ht="23.25" customHeight="1">
      <c r="A17" s="73">
        <v>40292</v>
      </c>
      <c r="B17" s="74">
        <v>0.3472222222222222</v>
      </c>
      <c r="C17" s="1">
        <v>443</v>
      </c>
      <c r="D17" s="1">
        <v>5</v>
      </c>
      <c r="E17" s="1">
        <f t="shared" si="3"/>
        <v>2.0833333333333144</v>
      </c>
      <c r="F17" s="1">
        <v>36476.6</v>
      </c>
      <c r="G17" s="1">
        <f t="shared" si="4"/>
        <v>100</v>
      </c>
      <c r="H17" s="1">
        <f t="shared" si="5"/>
        <v>17280000</v>
      </c>
      <c r="I17" s="1">
        <f t="shared" si="6"/>
        <v>2.3040000000000207</v>
      </c>
      <c r="J17" s="1">
        <f t="shared" si="7"/>
        <v>4.8</v>
      </c>
      <c r="K17" s="1">
        <f t="shared" si="8"/>
        <v>2.0945454545454734</v>
      </c>
      <c r="L17" s="44">
        <f t="shared" si="0"/>
        <v>2.291666666666646</v>
      </c>
      <c r="M17" s="96">
        <f t="shared" si="1"/>
        <v>25.391666666666648</v>
      </c>
      <c r="N17" s="31">
        <f t="shared" si="2"/>
        <v>61.908333333333346</v>
      </c>
      <c r="O17" s="1">
        <v>514.8</v>
      </c>
      <c r="P17" s="1">
        <v>41839</v>
      </c>
    </row>
    <row r="18" spans="1:17" ht="23.25" customHeight="1">
      <c r="A18" s="73">
        <v>40293</v>
      </c>
      <c r="B18" s="74">
        <v>0.34305555555555556</v>
      </c>
      <c r="C18" s="1">
        <v>445</v>
      </c>
      <c r="D18" s="1">
        <v>4</v>
      </c>
      <c r="E18" s="1">
        <f t="shared" si="3"/>
        <v>1.9833333333333485</v>
      </c>
      <c r="F18" s="1">
        <v>36612.3</v>
      </c>
      <c r="G18" s="1">
        <f t="shared" si="4"/>
        <v>135.70000000000437</v>
      </c>
      <c r="H18" s="1">
        <f t="shared" si="5"/>
        <v>23448960.000000753</v>
      </c>
      <c r="I18" s="1">
        <f t="shared" si="6"/>
        <v>3.284168067226971</v>
      </c>
      <c r="J18" s="1">
        <f t="shared" si="7"/>
        <v>6.513600000000209</v>
      </c>
      <c r="K18" s="1">
        <f t="shared" si="8"/>
        <v>2.9856073338427005</v>
      </c>
      <c r="L18" s="44">
        <f t="shared" si="0"/>
        <v>2.1816666666666835</v>
      </c>
      <c r="M18" s="96">
        <f t="shared" si="1"/>
        <v>27.57333333333333</v>
      </c>
      <c r="N18" s="31">
        <f>(N17-L18)+12</f>
        <v>71.72666666666666</v>
      </c>
      <c r="O18" s="1">
        <v>644.4</v>
      </c>
      <c r="P18" s="1">
        <v>41969.4</v>
      </c>
      <c r="Q18" t="s">
        <v>85</v>
      </c>
    </row>
    <row r="19" spans="1:16" ht="23.25" customHeight="1">
      <c r="A19" s="73">
        <v>11414</v>
      </c>
      <c r="B19" s="74">
        <v>0.35208333333333336</v>
      </c>
      <c r="C19" s="1">
        <v>454</v>
      </c>
      <c r="D19" s="1">
        <v>37</v>
      </c>
      <c r="E19" s="1">
        <f t="shared" si="3"/>
        <v>9.550000000000011</v>
      </c>
      <c r="F19" s="1">
        <v>36727.3</v>
      </c>
      <c r="G19" s="1">
        <f t="shared" si="4"/>
        <v>115</v>
      </c>
      <c r="H19" s="1">
        <f t="shared" si="5"/>
        <v>19872000</v>
      </c>
      <c r="I19" s="1">
        <f t="shared" si="6"/>
        <v>0.5780104712041878</v>
      </c>
      <c r="J19" s="1">
        <f t="shared" si="7"/>
        <v>5.52</v>
      </c>
      <c r="K19" s="1">
        <f t="shared" si="8"/>
        <v>0.5254640647310798</v>
      </c>
      <c r="L19" s="44">
        <f t="shared" si="0"/>
        <v>10.505000000000013</v>
      </c>
      <c r="M19" s="97">
        <f t="shared" si="1"/>
        <v>38.07833333333335</v>
      </c>
      <c r="N19" s="31">
        <f aca="true" t="shared" si="9" ref="N19:N27">N18-L19</f>
        <v>61.22166666666665</v>
      </c>
      <c r="O19" s="1">
        <v>794.3</v>
      </c>
      <c r="P19" s="1">
        <v>42119.3</v>
      </c>
    </row>
    <row r="20" spans="1:16" ht="23.25" customHeight="1">
      <c r="A20" s="73">
        <v>40299</v>
      </c>
      <c r="B20" s="74">
        <v>0.35694444444444445</v>
      </c>
      <c r="C20" s="1">
        <v>457</v>
      </c>
      <c r="D20" s="1">
        <v>45</v>
      </c>
      <c r="E20" s="1">
        <f t="shared" si="3"/>
        <v>3.1333333333333258</v>
      </c>
      <c r="F20" s="1">
        <v>36827.3</v>
      </c>
      <c r="G20" s="1">
        <f t="shared" si="4"/>
        <v>100</v>
      </c>
      <c r="H20" s="1">
        <f t="shared" si="5"/>
        <v>17280000</v>
      </c>
      <c r="I20" s="1">
        <f t="shared" si="6"/>
        <v>1.531914893617025</v>
      </c>
      <c r="J20" s="1">
        <f t="shared" si="7"/>
        <v>4.8</v>
      </c>
      <c r="K20" s="1">
        <f t="shared" si="8"/>
        <v>1.3926499032882043</v>
      </c>
      <c r="L20" s="44">
        <f t="shared" si="0"/>
        <v>3.4466666666666588</v>
      </c>
      <c r="M20" s="97">
        <f t="shared" si="1"/>
        <v>41.525000000000006</v>
      </c>
      <c r="N20" s="31">
        <f t="shared" si="9"/>
        <v>57.77499999999999</v>
      </c>
      <c r="O20" s="1">
        <v>883.9</v>
      </c>
      <c r="P20" s="1">
        <v>42208.9</v>
      </c>
    </row>
    <row r="21" spans="1:16" ht="23.25" customHeight="1">
      <c r="A21" s="73">
        <v>40300</v>
      </c>
      <c r="B21" s="74">
        <v>0.3333333333333333</v>
      </c>
      <c r="C21" s="1">
        <v>460</v>
      </c>
      <c r="D21" s="1">
        <v>1</v>
      </c>
      <c r="E21" s="1">
        <f t="shared" si="3"/>
        <v>2.2666666666666515</v>
      </c>
      <c r="F21" s="1">
        <v>36952.4</v>
      </c>
      <c r="G21" s="1">
        <f t="shared" si="4"/>
        <v>125.09999999999854</v>
      </c>
      <c r="H21" s="1">
        <f t="shared" si="5"/>
        <v>21617279.999999747</v>
      </c>
      <c r="I21" s="1">
        <f t="shared" si="6"/>
        <v>2.649176470588222</v>
      </c>
      <c r="J21" s="1">
        <f t="shared" si="7"/>
        <v>6.004799999999929</v>
      </c>
      <c r="K21" s="1">
        <f t="shared" si="8"/>
        <v>2.4083422459892927</v>
      </c>
      <c r="L21" s="44">
        <f t="shared" si="0"/>
        <v>2.4933333333333167</v>
      </c>
      <c r="M21" s="97">
        <f t="shared" si="1"/>
        <v>44.018333333333324</v>
      </c>
      <c r="N21" s="31">
        <f t="shared" si="9"/>
        <v>55.28166666666667</v>
      </c>
      <c r="O21" s="1">
        <v>997.7</v>
      </c>
      <c r="P21" s="1">
        <v>42322.7</v>
      </c>
    </row>
    <row r="22" spans="1:16" ht="23.25" customHeight="1">
      <c r="A22" s="73">
        <v>40301</v>
      </c>
      <c r="B22" s="74">
        <v>0.34652777777777777</v>
      </c>
      <c r="C22" s="1">
        <v>464</v>
      </c>
      <c r="D22" s="1">
        <v>51</v>
      </c>
      <c r="E22" s="1">
        <f t="shared" si="3"/>
        <v>4.833333333333371</v>
      </c>
      <c r="F22" s="1">
        <v>37057.5</v>
      </c>
      <c r="G22" s="1">
        <f t="shared" si="4"/>
        <v>105.09999999999854</v>
      </c>
      <c r="H22" s="1">
        <f t="shared" si="5"/>
        <v>18161279.999999747</v>
      </c>
      <c r="I22" s="1">
        <f t="shared" si="6"/>
        <v>1.0437517241379082</v>
      </c>
      <c r="J22" s="1">
        <f t="shared" si="7"/>
        <v>5.044799999999929</v>
      </c>
      <c r="K22" s="1">
        <f t="shared" si="8"/>
        <v>0.9488652037617347</v>
      </c>
      <c r="L22" s="44">
        <f t="shared" si="0"/>
        <v>5.316666666666709</v>
      </c>
      <c r="M22" s="97">
        <f t="shared" si="1"/>
        <v>49.335000000000036</v>
      </c>
      <c r="N22" s="31">
        <f t="shared" si="9"/>
        <v>49.96499999999996</v>
      </c>
      <c r="O22" s="1">
        <v>1091.6</v>
      </c>
      <c r="P22" s="1">
        <v>42416.6</v>
      </c>
    </row>
    <row r="23" spans="1:16" ht="23.25" customHeight="1">
      <c r="A23" s="73">
        <v>40302</v>
      </c>
      <c r="B23" s="74">
        <v>0.3333333333333333</v>
      </c>
      <c r="C23" s="1">
        <v>466</v>
      </c>
      <c r="D23" s="1">
        <v>14</v>
      </c>
      <c r="E23" s="1">
        <f t="shared" si="3"/>
        <v>1.3833333333333258</v>
      </c>
      <c r="F23" s="1">
        <v>37132.5</v>
      </c>
      <c r="G23" s="1">
        <f t="shared" si="4"/>
        <v>75</v>
      </c>
      <c r="H23" s="1">
        <f t="shared" si="5"/>
        <v>12960000</v>
      </c>
      <c r="I23" s="1">
        <f t="shared" si="6"/>
        <v>2.602409638554231</v>
      </c>
      <c r="J23" s="1">
        <f t="shared" si="7"/>
        <v>3.6</v>
      </c>
      <c r="K23" s="1">
        <f t="shared" si="8"/>
        <v>2.3658269441402098</v>
      </c>
      <c r="L23" s="44">
        <f t="shared" si="0"/>
        <v>1.5216666666666585</v>
      </c>
      <c r="M23" s="97">
        <f t="shared" si="1"/>
        <v>50.8566666666667</v>
      </c>
      <c r="N23" s="31">
        <f t="shared" si="9"/>
        <v>48.4433333333333</v>
      </c>
      <c r="O23" s="1">
        <v>1146.8</v>
      </c>
      <c r="P23" s="1">
        <v>42471.8</v>
      </c>
    </row>
    <row r="24" spans="1:16" ht="23.25" customHeight="1">
      <c r="A24" s="73">
        <v>40303</v>
      </c>
      <c r="B24" s="74">
        <v>0.34444444444444444</v>
      </c>
      <c r="C24" s="1">
        <v>468</v>
      </c>
      <c r="D24" s="1">
        <v>57</v>
      </c>
      <c r="E24" s="1">
        <f t="shared" si="3"/>
        <v>2.71666666666664</v>
      </c>
      <c r="F24" s="1">
        <v>37238.6</v>
      </c>
      <c r="G24" s="1">
        <f t="shared" si="4"/>
        <v>106.09999999999854</v>
      </c>
      <c r="H24" s="1">
        <f t="shared" si="5"/>
        <v>18334079.999999747</v>
      </c>
      <c r="I24" s="1">
        <f t="shared" si="6"/>
        <v>1.8746503067484583</v>
      </c>
      <c r="J24" s="1">
        <f t="shared" si="7"/>
        <v>5.092799999999929</v>
      </c>
      <c r="K24" s="1">
        <f t="shared" si="8"/>
        <v>1.7042275515895076</v>
      </c>
      <c r="L24" s="44">
        <f t="shared" si="0"/>
        <v>2.9883333333333044</v>
      </c>
      <c r="M24" s="97">
        <f t="shared" si="1"/>
        <v>53.845</v>
      </c>
      <c r="N24" s="31">
        <f t="shared" si="9"/>
        <v>45.455</v>
      </c>
      <c r="O24" s="1">
        <v>1245.7</v>
      </c>
      <c r="P24" s="1">
        <v>42570.7</v>
      </c>
    </row>
    <row r="25" spans="1:16" ht="23.25" customHeight="1">
      <c r="A25" s="73">
        <v>40304</v>
      </c>
      <c r="B25" s="74">
        <v>0.34375</v>
      </c>
      <c r="C25" s="1">
        <v>471</v>
      </c>
      <c r="D25" s="1">
        <v>42</v>
      </c>
      <c r="E25" s="1">
        <f t="shared" si="3"/>
        <v>2.75</v>
      </c>
      <c r="F25" s="1">
        <v>37338.6</v>
      </c>
      <c r="G25" s="1">
        <f t="shared" si="4"/>
        <v>100</v>
      </c>
      <c r="H25" s="1">
        <f t="shared" si="5"/>
        <v>17280000</v>
      </c>
      <c r="I25" s="1">
        <f t="shared" si="6"/>
        <v>1.7454545454545456</v>
      </c>
      <c r="J25" s="1">
        <f t="shared" si="7"/>
        <v>4.8</v>
      </c>
      <c r="K25" s="1">
        <f t="shared" si="8"/>
        <v>1.586776859504132</v>
      </c>
      <c r="L25" s="44">
        <f t="shared" si="0"/>
        <v>3.0250000000000004</v>
      </c>
      <c r="M25" s="98">
        <f t="shared" si="1"/>
        <v>56.87</v>
      </c>
      <c r="N25" s="31">
        <f t="shared" si="9"/>
        <v>42.43</v>
      </c>
      <c r="O25" s="1">
        <v>1339.8</v>
      </c>
      <c r="P25" s="1">
        <v>42664.8</v>
      </c>
    </row>
    <row r="26" spans="1:16" ht="23.25" customHeight="1">
      <c r="A26" s="73">
        <v>40305</v>
      </c>
      <c r="B26" s="74">
        <v>0.3333333333333333</v>
      </c>
      <c r="C26" s="1">
        <v>474</v>
      </c>
      <c r="D26" s="1">
        <v>44</v>
      </c>
      <c r="E26" s="1">
        <f t="shared" si="3"/>
        <v>3.03333333333336</v>
      </c>
      <c r="F26" s="1">
        <v>37439.2</v>
      </c>
      <c r="G26" s="1">
        <f t="shared" si="4"/>
        <v>100.59999999999854</v>
      </c>
      <c r="H26" s="1">
        <f t="shared" si="5"/>
        <v>17383679.999999747</v>
      </c>
      <c r="I26" s="1">
        <f t="shared" si="6"/>
        <v>1.591912087912051</v>
      </c>
      <c r="J26" s="1">
        <f t="shared" si="7"/>
        <v>4.82879999999993</v>
      </c>
      <c r="K26" s="1">
        <f t="shared" si="8"/>
        <v>1.4471928071927733</v>
      </c>
      <c r="L26" s="44">
        <f t="shared" si="0"/>
        <v>3.336666666666696</v>
      </c>
      <c r="M26" s="98">
        <f t="shared" si="1"/>
        <v>60.20666666666669</v>
      </c>
      <c r="N26" s="31">
        <f t="shared" si="9"/>
        <v>39.093333333333305</v>
      </c>
      <c r="O26" s="1">
        <v>1409.7</v>
      </c>
      <c r="P26" s="1">
        <v>42734.7</v>
      </c>
    </row>
    <row r="27" spans="1:16" ht="23.25" customHeight="1">
      <c r="A27" s="73">
        <v>40306</v>
      </c>
      <c r="B27" s="74">
        <v>0.3861111111111111</v>
      </c>
      <c r="C27" s="1">
        <v>479</v>
      </c>
      <c r="D27" s="1">
        <v>58</v>
      </c>
      <c r="E27" s="1">
        <f t="shared" si="3"/>
        <v>5.233333333333292</v>
      </c>
      <c r="F27" s="1">
        <v>37579.5</v>
      </c>
      <c r="G27" s="1">
        <f t="shared" si="4"/>
        <v>140.3000000000029</v>
      </c>
      <c r="H27" s="1">
        <f t="shared" si="5"/>
        <v>24243840.000000503</v>
      </c>
      <c r="I27" s="1">
        <f t="shared" si="6"/>
        <v>1.286828025477744</v>
      </c>
      <c r="J27" s="1">
        <f t="shared" si="7"/>
        <v>6.734400000000139</v>
      </c>
      <c r="K27" s="1">
        <f t="shared" si="8"/>
        <v>1.1698436595252215</v>
      </c>
      <c r="L27" s="44">
        <f t="shared" si="0"/>
        <v>5.7566666666666215</v>
      </c>
      <c r="M27" s="98">
        <f t="shared" si="1"/>
        <v>65.96333333333331</v>
      </c>
      <c r="N27" s="31">
        <f t="shared" si="9"/>
        <v>33.33666666666669</v>
      </c>
      <c r="O27" s="1">
        <v>1503.5</v>
      </c>
      <c r="P27" s="1">
        <v>42828.4</v>
      </c>
    </row>
    <row r="28" spans="1:17" ht="23.25" customHeight="1">
      <c r="A28" s="73">
        <v>40307</v>
      </c>
      <c r="B28" s="74">
        <v>0.3541666666666667</v>
      </c>
      <c r="C28" s="1">
        <v>479</v>
      </c>
      <c r="D28" s="1">
        <v>58</v>
      </c>
      <c r="E28" s="1">
        <f t="shared" si="3"/>
        <v>0</v>
      </c>
      <c r="F28" s="1">
        <v>37579.5</v>
      </c>
      <c r="G28" s="1">
        <f t="shared" si="4"/>
        <v>0</v>
      </c>
      <c r="H28" s="1">
        <f t="shared" si="5"/>
        <v>0</v>
      </c>
      <c r="J28" s="1">
        <f t="shared" si="7"/>
        <v>0</v>
      </c>
      <c r="L28" s="44">
        <f t="shared" si="0"/>
        <v>0</v>
      </c>
      <c r="M28" s="98">
        <f t="shared" si="1"/>
        <v>65.96333333333331</v>
      </c>
      <c r="N28" s="31">
        <f>(N27-L28)+20</f>
        <v>53.33666666666669</v>
      </c>
      <c r="O28" s="1">
        <v>1503.4</v>
      </c>
      <c r="P28" s="1">
        <v>42828.4</v>
      </c>
      <c r="Q28" t="s">
        <v>86</v>
      </c>
    </row>
    <row r="29" spans="1:16" ht="23.25" customHeight="1">
      <c r="A29" s="73">
        <v>40308</v>
      </c>
      <c r="B29" s="74">
        <v>0.34097222222222223</v>
      </c>
      <c r="C29" s="1">
        <v>485</v>
      </c>
      <c r="D29" s="1">
        <v>52</v>
      </c>
      <c r="E29" s="1">
        <f t="shared" si="3"/>
        <v>5.900000000000034</v>
      </c>
      <c r="F29" s="1">
        <v>37719.5</v>
      </c>
      <c r="G29" s="1">
        <f t="shared" si="4"/>
        <v>140</v>
      </c>
      <c r="H29" s="1">
        <f t="shared" si="5"/>
        <v>24192000</v>
      </c>
      <c r="I29" s="1">
        <f t="shared" si="6"/>
        <v>1.138983050847451</v>
      </c>
      <c r="J29" s="1">
        <f t="shared" si="7"/>
        <v>6.72</v>
      </c>
      <c r="K29" s="1">
        <f t="shared" si="8"/>
        <v>1.0354391371340461</v>
      </c>
      <c r="L29" s="44">
        <f t="shared" si="0"/>
        <v>6.490000000000038</v>
      </c>
      <c r="M29" s="98">
        <f t="shared" si="1"/>
        <v>72.45333333333335</v>
      </c>
      <c r="N29" s="31">
        <f>(N28-L29)</f>
        <v>46.84666666666665</v>
      </c>
      <c r="O29" s="1">
        <v>1711.7</v>
      </c>
      <c r="P29" s="1">
        <v>43036.7</v>
      </c>
    </row>
    <row r="30" spans="1:17" ht="23.25" customHeight="1">
      <c r="A30" s="73">
        <v>40309</v>
      </c>
      <c r="B30" s="74">
        <v>0.34375</v>
      </c>
      <c r="C30" s="1">
        <v>489</v>
      </c>
      <c r="D30" s="1">
        <v>18</v>
      </c>
      <c r="E30" s="1">
        <f t="shared" si="3"/>
        <v>3.433333333333337</v>
      </c>
      <c r="F30" s="1">
        <v>37814.7</v>
      </c>
      <c r="G30" s="1">
        <f t="shared" si="4"/>
        <v>95.19999999999709</v>
      </c>
      <c r="H30" s="1">
        <f t="shared" si="5"/>
        <v>16450559.999999497</v>
      </c>
      <c r="I30" s="1">
        <f t="shared" si="6"/>
        <v>1.3309514563106375</v>
      </c>
      <c r="J30" s="1">
        <f t="shared" si="7"/>
        <v>4.56959999999986</v>
      </c>
      <c r="K30" s="1">
        <f t="shared" si="8"/>
        <v>1.2099558693733066</v>
      </c>
      <c r="L30" s="44">
        <f t="shared" si="0"/>
        <v>3.7766666666666713</v>
      </c>
      <c r="M30" s="98">
        <f t="shared" si="1"/>
        <v>76.23000000000002</v>
      </c>
      <c r="N30" s="31">
        <f>(N29-L30)</f>
        <v>43.06999999999998</v>
      </c>
      <c r="O30" s="1">
        <v>1777.6</v>
      </c>
      <c r="P30" s="1">
        <v>43102.6</v>
      </c>
      <c r="Q30" t="s">
        <v>87</v>
      </c>
    </row>
    <row r="31" spans="1:17" ht="23.25" customHeight="1">
      <c r="A31" s="73">
        <v>40310</v>
      </c>
      <c r="B31" s="74">
        <v>0.3645833333333333</v>
      </c>
      <c r="C31" s="1">
        <v>496</v>
      </c>
      <c r="D31" s="1">
        <v>18</v>
      </c>
      <c r="E31" s="1">
        <f t="shared" si="3"/>
        <v>7</v>
      </c>
      <c r="F31" s="1">
        <v>37985.6</v>
      </c>
      <c r="G31" s="1">
        <f t="shared" si="4"/>
        <v>170.90000000000146</v>
      </c>
      <c r="H31" s="1">
        <f t="shared" si="5"/>
        <v>29531520.000000253</v>
      </c>
      <c r="I31" s="1">
        <f t="shared" si="6"/>
        <v>1.1718857142857244</v>
      </c>
      <c r="J31" s="1">
        <f t="shared" si="7"/>
        <v>8.20320000000007</v>
      </c>
      <c r="K31" s="1">
        <f t="shared" si="8"/>
        <v>1.0653506493506584</v>
      </c>
      <c r="L31" s="44">
        <f t="shared" si="0"/>
        <v>7.700000000000001</v>
      </c>
      <c r="M31" s="98">
        <f t="shared" si="1"/>
        <v>83.93000000000002</v>
      </c>
      <c r="N31" s="31">
        <f>(N30-L31)+23</f>
        <v>58.369999999999976</v>
      </c>
      <c r="O31" s="1">
        <v>1933.2</v>
      </c>
      <c r="P31" s="1">
        <v>43258.2</v>
      </c>
      <c r="Q31" t="s">
        <v>88</v>
      </c>
    </row>
    <row r="32" spans="1:17" ht="23.25" customHeight="1">
      <c r="A32" s="73">
        <v>40314</v>
      </c>
      <c r="B32" s="74">
        <v>0.052083333333333336</v>
      </c>
      <c r="C32" s="1">
        <v>503</v>
      </c>
      <c r="D32" s="1">
        <v>44</v>
      </c>
      <c r="E32" s="1">
        <f t="shared" si="3"/>
        <v>7.433333333333337</v>
      </c>
      <c r="F32" s="1">
        <v>38121.6</v>
      </c>
      <c r="G32" s="1">
        <f t="shared" si="4"/>
        <v>136</v>
      </c>
      <c r="H32" s="1">
        <f t="shared" si="5"/>
        <v>23500800</v>
      </c>
      <c r="I32" s="1">
        <f t="shared" si="6"/>
        <v>0.8782062780269053</v>
      </c>
      <c r="J32" s="1">
        <f t="shared" si="7"/>
        <v>6.528</v>
      </c>
      <c r="K32" s="1">
        <f t="shared" si="8"/>
        <v>0.798369343660823</v>
      </c>
      <c r="L32" s="44">
        <f t="shared" si="0"/>
        <v>8.176666666666671</v>
      </c>
      <c r="M32" s="99">
        <f t="shared" si="1"/>
        <v>92.1066666666667</v>
      </c>
      <c r="N32" s="31">
        <f>(N31-L32)+24</f>
        <v>74.1933333333333</v>
      </c>
      <c r="O32" s="1">
        <v>2071.7</v>
      </c>
      <c r="P32" s="1">
        <v>43396.7</v>
      </c>
      <c r="Q32" s="75" t="s">
        <v>89</v>
      </c>
    </row>
    <row r="33" spans="1:16" ht="23.25" customHeight="1">
      <c r="A33" s="73">
        <v>40315</v>
      </c>
      <c r="B33" s="74">
        <v>0.3472222222222222</v>
      </c>
      <c r="C33" s="1">
        <v>505</v>
      </c>
      <c r="D33" s="1">
        <v>48</v>
      </c>
      <c r="E33" s="1">
        <f t="shared" si="3"/>
        <v>2.066666666666663</v>
      </c>
      <c r="F33" s="1">
        <v>38181.6</v>
      </c>
      <c r="G33" s="1">
        <f t="shared" si="4"/>
        <v>60</v>
      </c>
      <c r="H33" s="1">
        <f t="shared" si="5"/>
        <v>10368000</v>
      </c>
      <c r="I33" s="1">
        <f t="shared" si="6"/>
        <v>1.3935483870967766</v>
      </c>
      <c r="J33" s="1">
        <f t="shared" si="7"/>
        <v>2.88</v>
      </c>
      <c r="K33" s="1">
        <f t="shared" si="8"/>
        <v>1.2668621700879787</v>
      </c>
      <c r="L33" s="44">
        <f t="shared" si="0"/>
        <v>2.2733333333333294</v>
      </c>
      <c r="M33" s="99">
        <f t="shared" si="1"/>
        <v>94.38000000000002</v>
      </c>
      <c r="N33" s="31">
        <f aca="true" t="shared" si="10" ref="N33:N38">(N32-L33)</f>
        <v>71.91999999999997</v>
      </c>
      <c r="O33" s="1">
        <v>2170.6</v>
      </c>
      <c r="P33" s="1">
        <v>43495.6</v>
      </c>
    </row>
    <row r="34" spans="1:16" ht="23.25" customHeight="1">
      <c r="A34" s="73">
        <v>40316</v>
      </c>
      <c r="B34" s="74">
        <v>0.3333333333333333</v>
      </c>
      <c r="C34" s="1">
        <v>509</v>
      </c>
      <c r="D34" s="1">
        <v>44</v>
      </c>
      <c r="E34" s="1">
        <f t="shared" si="3"/>
        <v>3.933333333333337</v>
      </c>
      <c r="F34" s="1">
        <v>38302.4</v>
      </c>
      <c r="G34" s="1">
        <f t="shared" si="4"/>
        <v>120.80000000000291</v>
      </c>
      <c r="H34" s="1">
        <f t="shared" si="5"/>
        <v>20874240.000000503</v>
      </c>
      <c r="I34" s="1">
        <f t="shared" si="6"/>
        <v>1.4741694915254577</v>
      </c>
      <c r="J34" s="1">
        <f t="shared" si="7"/>
        <v>5.798400000000139</v>
      </c>
      <c r="K34" s="1">
        <f t="shared" si="8"/>
        <v>1.3401540832049614</v>
      </c>
      <c r="L34" s="44">
        <f t="shared" si="0"/>
        <v>4.3266666666666715</v>
      </c>
      <c r="M34" s="99">
        <f t="shared" si="1"/>
        <v>98.70666666666669</v>
      </c>
      <c r="N34" s="31">
        <f t="shared" si="10"/>
        <v>67.5933333333333</v>
      </c>
      <c r="O34" s="1">
        <v>2289.2</v>
      </c>
      <c r="P34" s="1">
        <v>43614.2</v>
      </c>
    </row>
    <row r="35" spans="1:16" ht="23.25" customHeight="1">
      <c r="A35" s="73">
        <v>40317</v>
      </c>
      <c r="B35" s="74">
        <v>0.3333333333333333</v>
      </c>
      <c r="C35" s="1">
        <v>516</v>
      </c>
      <c r="D35" s="1">
        <v>7</v>
      </c>
      <c r="E35" s="1">
        <f t="shared" si="3"/>
        <v>6.383333333333326</v>
      </c>
      <c r="F35" s="1">
        <v>38487.4</v>
      </c>
      <c r="G35" s="1">
        <f t="shared" si="4"/>
        <v>185</v>
      </c>
      <c r="H35" s="1">
        <f t="shared" si="5"/>
        <v>31968000</v>
      </c>
      <c r="I35" s="1">
        <f t="shared" si="6"/>
        <v>1.3911227154047014</v>
      </c>
      <c r="J35" s="1">
        <f t="shared" si="7"/>
        <v>8.88</v>
      </c>
      <c r="K35" s="1">
        <f t="shared" si="8"/>
        <v>1.264657014004274</v>
      </c>
      <c r="L35" s="44">
        <f t="shared" si="0"/>
        <v>7.0216666666666585</v>
      </c>
      <c r="M35" s="99">
        <f t="shared" si="1"/>
        <v>105.72833333333335</v>
      </c>
      <c r="N35" s="31">
        <f t="shared" si="10"/>
        <v>60.571666666666644</v>
      </c>
      <c r="O35" s="1">
        <v>2456.3</v>
      </c>
      <c r="P35" s="1">
        <v>43781.3</v>
      </c>
    </row>
    <row r="36" spans="1:16" ht="23.25" customHeight="1">
      <c r="A36" s="73">
        <v>40318</v>
      </c>
      <c r="B36" s="74">
        <v>0.3298611111111111</v>
      </c>
      <c r="C36" s="1">
        <v>517</v>
      </c>
      <c r="D36" s="1">
        <v>39</v>
      </c>
      <c r="E36" s="1">
        <f t="shared" si="3"/>
        <v>1.533333333333303</v>
      </c>
      <c r="F36" s="1">
        <v>38582.4</v>
      </c>
      <c r="G36" s="1">
        <f t="shared" si="4"/>
        <v>95</v>
      </c>
      <c r="H36" s="1">
        <f t="shared" si="5"/>
        <v>16416000</v>
      </c>
      <c r="I36" s="1">
        <f t="shared" si="6"/>
        <v>2.9739130434783196</v>
      </c>
      <c r="J36" s="1">
        <f t="shared" si="7"/>
        <v>4.56</v>
      </c>
      <c r="K36" s="1">
        <f t="shared" si="8"/>
        <v>2.7035573122530177</v>
      </c>
      <c r="L36" s="44">
        <f t="shared" si="0"/>
        <v>1.6866666666666335</v>
      </c>
      <c r="M36" s="99">
        <f t="shared" si="1"/>
        <v>107.41499999999999</v>
      </c>
      <c r="N36" s="31">
        <f t="shared" si="10"/>
        <v>58.88500000000001</v>
      </c>
      <c r="O36" s="1">
        <v>2552.3</v>
      </c>
      <c r="P36" s="1">
        <v>43877.3</v>
      </c>
    </row>
    <row r="37" spans="1:16" ht="23.25" customHeight="1">
      <c r="A37" s="73">
        <v>40319</v>
      </c>
      <c r="B37" s="74">
        <v>0.3333333333333333</v>
      </c>
      <c r="C37" s="1">
        <v>519</v>
      </c>
      <c r="D37" s="1">
        <v>26</v>
      </c>
      <c r="E37" s="1">
        <f t="shared" si="3"/>
        <v>1.783333333333303</v>
      </c>
      <c r="F37" s="1">
        <v>38657.4</v>
      </c>
      <c r="G37" s="1">
        <f t="shared" si="4"/>
        <v>75</v>
      </c>
      <c r="H37" s="1">
        <f t="shared" si="5"/>
        <v>12960000</v>
      </c>
      <c r="I37" s="1">
        <f t="shared" si="6"/>
        <v>2.018691588785081</v>
      </c>
      <c r="J37" s="1">
        <f t="shared" si="7"/>
        <v>3.6</v>
      </c>
      <c r="K37" s="1">
        <f t="shared" si="8"/>
        <v>1.8351741716228007</v>
      </c>
      <c r="L37" s="44">
        <f t="shared" si="0"/>
        <v>1.9616666666666336</v>
      </c>
      <c r="M37" s="99">
        <f t="shared" si="1"/>
        <v>109.37666666666662</v>
      </c>
      <c r="N37" s="31">
        <f t="shared" si="10"/>
        <v>56.92333333333338</v>
      </c>
      <c r="O37" s="1">
        <v>2696.8</v>
      </c>
      <c r="P37" s="1">
        <v>44021.8</v>
      </c>
    </row>
    <row r="38" spans="1:16" ht="23.25" customHeight="1">
      <c r="A38" s="73">
        <v>40320</v>
      </c>
      <c r="B38" s="74">
        <v>0.34375</v>
      </c>
      <c r="C38" s="1">
        <v>523</v>
      </c>
      <c r="D38" s="1">
        <v>8</v>
      </c>
      <c r="E38" s="1">
        <f t="shared" si="3"/>
        <v>3.7000000000000455</v>
      </c>
      <c r="F38" s="1">
        <v>38812.4</v>
      </c>
      <c r="G38" s="1">
        <f t="shared" si="4"/>
        <v>155</v>
      </c>
      <c r="H38" s="1">
        <f t="shared" si="5"/>
        <v>26784000</v>
      </c>
      <c r="I38" s="1">
        <f t="shared" si="6"/>
        <v>2.010810810810786</v>
      </c>
      <c r="J38" s="1">
        <f t="shared" si="7"/>
        <v>7.44</v>
      </c>
      <c r="K38" s="1">
        <f t="shared" si="8"/>
        <v>1.8280098280098056</v>
      </c>
      <c r="L38" s="44">
        <f t="shared" si="0"/>
        <v>4.07000000000005</v>
      </c>
      <c r="M38" s="99">
        <f t="shared" si="1"/>
        <v>113.44666666666667</v>
      </c>
      <c r="N38" s="31">
        <f t="shared" si="10"/>
        <v>52.85333333333333</v>
      </c>
      <c r="O38" s="1">
        <v>2827.6</v>
      </c>
      <c r="P38" s="1">
        <v>44152.6</v>
      </c>
    </row>
    <row r="39" spans="1:17" ht="23.25" customHeight="1">
      <c r="A39" s="73">
        <v>40321</v>
      </c>
      <c r="B39" s="74">
        <v>0.34375</v>
      </c>
      <c r="C39" s="1">
        <v>525</v>
      </c>
      <c r="D39" s="1">
        <v>32</v>
      </c>
      <c r="E39" s="1">
        <f t="shared" si="3"/>
        <v>2.3999999999999773</v>
      </c>
      <c r="F39" s="1">
        <v>38887.4</v>
      </c>
      <c r="G39" s="1">
        <f t="shared" si="4"/>
        <v>75</v>
      </c>
      <c r="H39" s="1">
        <f t="shared" si="5"/>
        <v>12960000</v>
      </c>
      <c r="I39" s="1">
        <f t="shared" si="6"/>
        <v>1.500000000000014</v>
      </c>
      <c r="J39" s="1">
        <f t="shared" si="7"/>
        <v>3.6</v>
      </c>
      <c r="K39" s="1">
        <f t="shared" si="8"/>
        <v>1.3636363636363764</v>
      </c>
      <c r="L39" s="44">
        <f t="shared" si="0"/>
        <v>2.6399999999999753</v>
      </c>
      <c r="M39" s="100">
        <f t="shared" si="1"/>
        <v>116.08666666666664</v>
      </c>
      <c r="N39" s="31">
        <f>(N38-L39)+21.5</f>
        <v>71.71333333333337</v>
      </c>
      <c r="O39" s="1">
        <v>2858.8</v>
      </c>
      <c r="P39" s="1">
        <v>44183.8</v>
      </c>
      <c r="Q39" t="s">
        <v>90</v>
      </c>
    </row>
    <row r="40" spans="1:16" ht="23.25" customHeight="1">
      <c r="A40" s="73">
        <v>40322</v>
      </c>
      <c r="B40" s="74">
        <v>0.3020833333333333</v>
      </c>
      <c r="C40" s="1">
        <v>529</v>
      </c>
      <c r="D40" s="1">
        <v>28</v>
      </c>
      <c r="E40" s="1">
        <f t="shared" si="3"/>
        <v>3.933333333333394</v>
      </c>
      <c r="F40" s="1">
        <f>(F39+F41)/2</f>
        <v>38952.65</v>
      </c>
      <c r="G40" s="1">
        <f t="shared" si="4"/>
        <v>65.25</v>
      </c>
      <c r="H40" s="1">
        <f t="shared" si="5"/>
        <v>11275200</v>
      </c>
      <c r="I40" s="1">
        <f t="shared" si="6"/>
        <v>0.7962711864406657</v>
      </c>
      <c r="J40" s="1">
        <f t="shared" si="7"/>
        <v>3.132</v>
      </c>
      <c r="K40" s="1">
        <f t="shared" si="8"/>
        <v>0.7238828967642416</v>
      </c>
      <c r="L40" s="44">
        <f t="shared" si="0"/>
        <v>4.326666666666734</v>
      </c>
      <c r="M40" s="100">
        <f t="shared" si="1"/>
        <v>120.41333333333338</v>
      </c>
      <c r="N40" s="31">
        <f>(N39-L40)</f>
        <v>67.38666666666663</v>
      </c>
      <c r="O40" s="1">
        <v>2974.5</v>
      </c>
      <c r="P40" s="1">
        <v>44299.5</v>
      </c>
    </row>
    <row r="41" spans="1:17" ht="15">
      <c r="A41" s="73">
        <v>40323</v>
      </c>
      <c r="B41" s="74">
        <v>0.3333333333333333</v>
      </c>
      <c r="C41" s="1">
        <v>531</v>
      </c>
      <c r="D41" s="1">
        <v>44</v>
      </c>
      <c r="E41" s="1">
        <f t="shared" si="3"/>
        <v>2.2666666666666515</v>
      </c>
      <c r="F41" s="1">
        <v>39017.9</v>
      </c>
      <c r="G41" s="1">
        <f t="shared" si="4"/>
        <v>65.25</v>
      </c>
      <c r="H41" s="1">
        <f t="shared" si="5"/>
        <v>11275200</v>
      </c>
      <c r="I41" s="1">
        <f t="shared" si="6"/>
        <v>1.3817647058823623</v>
      </c>
      <c r="J41" s="1">
        <f t="shared" si="7"/>
        <v>3.132</v>
      </c>
      <c r="K41" s="1">
        <f t="shared" si="8"/>
        <v>1.2561497326203293</v>
      </c>
      <c r="L41" s="44">
        <f t="shared" si="0"/>
        <v>2.4933333333333167</v>
      </c>
      <c r="M41" s="100">
        <f t="shared" si="1"/>
        <v>122.9066666666667</v>
      </c>
      <c r="N41" s="31">
        <f>(N40-L41)</f>
        <v>64.89333333333332</v>
      </c>
      <c r="O41" s="1">
        <v>3048.3</v>
      </c>
      <c r="P41" s="1">
        <v>44373.3</v>
      </c>
      <c r="Q41" t="s">
        <v>91</v>
      </c>
    </row>
    <row r="42" spans="1:16" ht="15">
      <c r="A42" s="73">
        <v>40324</v>
      </c>
      <c r="B42" s="74">
        <v>0.3333333333333333</v>
      </c>
      <c r="C42" s="1">
        <v>537</v>
      </c>
      <c r="D42" s="1">
        <v>28</v>
      </c>
      <c r="E42" s="1">
        <f t="shared" si="3"/>
        <v>5.7333333333333485</v>
      </c>
      <c r="F42" s="1">
        <v>39207.9</v>
      </c>
      <c r="G42" s="1">
        <f t="shared" si="4"/>
        <v>190</v>
      </c>
      <c r="H42" s="1">
        <f t="shared" si="5"/>
        <v>32832000</v>
      </c>
      <c r="I42" s="1">
        <f t="shared" si="6"/>
        <v>1.5906976744186003</v>
      </c>
      <c r="J42" s="1">
        <f t="shared" si="7"/>
        <v>9.12</v>
      </c>
      <c r="K42" s="1">
        <f t="shared" si="8"/>
        <v>1.4460887949260002</v>
      </c>
      <c r="L42" s="44">
        <f t="shared" si="0"/>
        <v>6.3066666666666835</v>
      </c>
      <c r="M42" s="100">
        <f t="shared" si="1"/>
        <v>129.21333333333337</v>
      </c>
      <c r="N42" s="31">
        <f>(N41-L42)</f>
        <v>58.58666666666663</v>
      </c>
      <c r="O42" s="1">
        <v>3298.1</v>
      </c>
      <c r="P42" s="1">
        <v>44623.1</v>
      </c>
    </row>
    <row r="43" spans="1:16" ht="15">
      <c r="A43" s="73">
        <v>40325</v>
      </c>
      <c r="B43" s="74">
        <v>0.34375</v>
      </c>
      <c r="C43" s="1">
        <v>539</v>
      </c>
      <c r="D43" s="1">
        <v>53</v>
      </c>
      <c r="E43" s="1">
        <f t="shared" si="3"/>
        <v>2.4166666666666288</v>
      </c>
      <c r="F43" s="1">
        <v>39347.9</v>
      </c>
      <c r="G43" s="1">
        <f t="shared" si="4"/>
        <v>140</v>
      </c>
      <c r="H43" s="1">
        <f t="shared" si="5"/>
        <v>24192000</v>
      </c>
      <c r="I43" s="1">
        <f t="shared" si="6"/>
        <v>2.780689655172458</v>
      </c>
      <c r="J43" s="1">
        <f t="shared" si="7"/>
        <v>6.72</v>
      </c>
      <c r="K43" s="1">
        <f t="shared" si="8"/>
        <v>2.5278996865204153</v>
      </c>
      <c r="L43" s="44">
        <f t="shared" si="0"/>
        <v>2.658333333333292</v>
      </c>
      <c r="M43" s="100">
        <f t="shared" si="1"/>
        <v>131.87166666666667</v>
      </c>
      <c r="N43" s="31">
        <f>(N42-L43)</f>
        <v>55.92833333333334</v>
      </c>
      <c r="O43" s="1">
        <v>3416</v>
      </c>
      <c r="P43" s="1">
        <v>44741</v>
      </c>
    </row>
    <row r="44" spans="1:16" ht="15">
      <c r="A44" s="73">
        <v>40326</v>
      </c>
      <c r="B44" s="74">
        <v>0.3333333333333333</v>
      </c>
      <c r="C44" s="1">
        <v>545</v>
      </c>
      <c r="D44" s="1">
        <v>50</v>
      </c>
      <c r="E44" s="1">
        <f t="shared" si="3"/>
        <v>5.9500000000000455</v>
      </c>
      <c r="F44" s="1">
        <v>39563.7</v>
      </c>
      <c r="G44" s="1">
        <f t="shared" si="4"/>
        <v>215.79999999999563</v>
      </c>
      <c r="H44" s="1">
        <f t="shared" si="5"/>
        <v>37290239.99999925</v>
      </c>
      <c r="I44" s="1">
        <f t="shared" si="6"/>
        <v>1.7409075630251616</v>
      </c>
      <c r="J44" s="1">
        <f t="shared" si="7"/>
        <v>10.358399999999792</v>
      </c>
      <c r="K44" s="1">
        <f t="shared" si="8"/>
        <v>1.5826432391137832</v>
      </c>
      <c r="L44" s="44">
        <f t="shared" si="0"/>
        <v>6.5450000000000506</v>
      </c>
      <c r="M44" s="100">
        <f t="shared" si="1"/>
        <v>138.4166666666667</v>
      </c>
      <c r="N44" s="31">
        <f>(N43-L44)</f>
        <v>49.38333333333329</v>
      </c>
      <c r="O44" s="1">
        <v>3657.7</v>
      </c>
      <c r="P44" s="1">
        <v>44982.7</v>
      </c>
    </row>
    <row r="45" spans="1:16" ht="15">
      <c r="A45" s="73">
        <v>40327</v>
      </c>
      <c r="B45" s="74">
        <v>0.3333333333333333</v>
      </c>
      <c r="C45" s="1">
        <v>550</v>
      </c>
      <c r="D45" s="1">
        <v>34</v>
      </c>
      <c r="E45" s="1">
        <f t="shared" si="3"/>
        <v>4.7333333333333485</v>
      </c>
      <c r="F45" s="1">
        <v>39628.7</v>
      </c>
      <c r="G45" s="1">
        <f t="shared" si="4"/>
        <v>65</v>
      </c>
      <c r="H45" s="1">
        <f t="shared" si="5"/>
        <v>11232000</v>
      </c>
      <c r="I45" s="1">
        <f t="shared" si="6"/>
        <v>0.6591549295774627</v>
      </c>
      <c r="J45" s="1">
        <f t="shared" si="7"/>
        <v>3.12</v>
      </c>
      <c r="K45" s="1">
        <f t="shared" si="8"/>
        <v>0.5992317541613297</v>
      </c>
      <c r="L45" s="44">
        <f>((C45+(D45/60))-(C44+(D44/60)))*1.1</f>
        <v>5.206666666666684</v>
      </c>
      <c r="M45" s="100">
        <f>L45+M44</f>
        <v>143.6233333333334</v>
      </c>
      <c r="N45" s="31">
        <f>(N44-L45)</f>
        <v>44.176666666666605</v>
      </c>
      <c r="O45" s="1">
        <v>3746.3</v>
      </c>
      <c r="P45" s="1">
        <v>45071.3</v>
      </c>
    </row>
    <row r="46" spans="1:16" ht="15">
      <c r="A46" s="71">
        <v>40328</v>
      </c>
      <c r="B46" s="85">
        <v>0.4791666666666667</v>
      </c>
      <c r="C46" s="1">
        <v>553</v>
      </c>
      <c r="D46" s="1">
        <v>6</v>
      </c>
      <c r="E46" s="1">
        <f t="shared" si="3"/>
        <v>2.533333333333303</v>
      </c>
      <c r="F46" s="1">
        <v>39799.4</v>
      </c>
      <c r="G46" s="1">
        <f t="shared" si="4"/>
        <v>170.70000000000437</v>
      </c>
      <c r="H46" s="1">
        <f t="shared" si="5"/>
        <v>29496960.000000753</v>
      </c>
      <c r="I46" s="1">
        <f t="shared" si="6"/>
        <v>3.2343157894738055</v>
      </c>
      <c r="J46" s="1">
        <f t="shared" si="7"/>
        <v>8.19360000000021</v>
      </c>
      <c r="K46" s="1">
        <f t="shared" si="8"/>
        <v>2.940287081339823</v>
      </c>
      <c r="L46" s="44">
        <f>((C46+(D46/60))-(C45+(D45/60)))*1.1</f>
        <v>2.7866666666666338</v>
      </c>
      <c r="M46" s="100">
        <f>L46+M45</f>
        <v>146.41000000000003</v>
      </c>
      <c r="N46" s="31">
        <f>(N45-L46)</f>
        <v>41.38999999999997</v>
      </c>
      <c r="O46" s="1">
        <v>3868.5</v>
      </c>
      <c r="P46" s="1">
        <v>45193.5</v>
      </c>
    </row>
    <row r="47" spans="10:11" ht="15">
      <c r="J47" s="1">
        <f>SUM(J12:J46)</f>
        <v>197.49120000000005</v>
      </c>
      <c r="K47" s="1">
        <f>AVERAGE(K12:K46)</f>
        <v>1.5589750769301194</v>
      </c>
    </row>
    <row r="49" spans="17:19" ht="15">
      <c r="Q49" s="79" t="s">
        <v>128</v>
      </c>
      <c r="R49" s="79"/>
      <c r="S49" s="79"/>
    </row>
    <row r="50" spans="17:19" ht="15">
      <c r="Q50" s="79"/>
      <c r="R50" s="79"/>
      <c r="S50" s="79"/>
    </row>
    <row r="51" spans="7:19" ht="15">
      <c r="G51" s="79" t="s">
        <v>128</v>
      </c>
      <c r="H51" s="79"/>
      <c r="I51" s="79"/>
      <c r="Q51" s="80" t="s">
        <v>121</v>
      </c>
      <c r="R51" s="80" t="s">
        <v>129</v>
      </c>
      <c r="S51" s="79"/>
    </row>
    <row r="52" spans="7:19" ht="15">
      <c r="G52" s="79"/>
      <c r="H52" s="79"/>
      <c r="I52" s="79"/>
      <c r="Q52" s="80">
        <v>1</v>
      </c>
      <c r="R52" s="81">
        <v>12.430000000000001</v>
      </c>
      <c r="S52" s="79"/>
    </row>
    <row r="53" spans="7:19" ht="15">
      <c r="G53" s="80" t="s">
        <v>121</v>
      </c>
      <c r="H53" s="80" t="s">
        <v>129</v>
      </c>
      <c r="I53" s="79"/>
      <c r="Q53" s="80">
        <v>2</v>
      </c>
      <c r="R53" s="81">
        <v>29.553333333333335</v>
      </c>
      <c r="S53" s="79"/>
    </row>
    <row r="54" spans="7:19" ht="15">
      <c r="G54" s="80">
        <v>1</v>
      </c>
      <c r="H54" s="81">
        <v>27.57</v>
      </c>
      <c r="I54" s="79"/>
      <c r="Q54" s="80">
        <v>3</v>
      </c>
      <c r="R54" s="81">
        <v>45.11833333333334</v>
      </c>
      <c r="S54" s="79"/>
    </row>
    <row r="55" spans="7:19" ht="15">
      <c r="G55" s="80">
        <v>2</v>
      </c>
      <c r="H55" s="81">
        <f>M24-M18</f>
        <v>26.27166666666667</v>
      </c>
      <c r="I55" s="79"/>
      <c r="Q55" s="80">
        <v>4</v>
      </c>
      <c r="R55" s="81">
        <v>12.540000000000003</v>
      </c>
      <c r="S55" s="79"/>
    </row>
    <row r="56" spans="7:19" ht="15">
      <c r="G56" s="80">
        <v>3</v>
      </c>
      <c r="H56" s="81">
        <f>M31-M24</f>
        <v>30.085000000000022</v>
      </c>
      <c r="I56" s="79"/>
      <c r="Q56" s="80">
        <v>5</v>
      </c>
      <c r="R56" s="81">
        <v>30.983333333333334</v>
      </c>
      <c r="S56" s="79"/>
    </row>
    <row r="57" spans="7:19" ht="15">
      <c r="G57" s="80">
        <v>4</v>
      </c>
      <c r="H57" s="81">
        <f>M38-M31</f>
        <v>29.51666666666665</v>
      </c>
      <c r="I57" s="79"/>
      <c r="Q57" s="79"/>
      <c r="R57" s="79"/>
      <c r="S57" s="79"/>
    </row>
    <row r="58" spans="7:19" ht="15">
      <c r="G58" s="80">
        <v>5</v>
      </c>
      <c r="H58" s="81">
        <f>M46-M38</f>
        <v>32.96333333333335</v>
      </c>
      <c r="I58" s="79"/>
      <c r="Q58" s="80" t="s">
        <v>131</v>
      </c>
      <c r="R58" s="80" t="s">
        <v>132</v>
      </c>
      <c r="S58" s="80" t="s">
        <v>133</v>
      </c>
    </row>
    <row r="59" spans="7:19" ht="15">
      <c r="G59" s="79"/>
      <c r="H59" s="79"/>
      <c r="I59" s="79"/>
      <c r="Q59" s="80" t="s">
        <v>134</v>
      </c>
      <c r="R59" s="81">
        <v>2.0280135257910343</v>
      </c>
      <c r="S59" s="81">
        <v>0.3738982720703127</v>
      </c>
    </row>
    <row r="60" spans="7:19" ht="15">
      <c r="G60" s="79" t="s">
        <v>130</v>
      </c>
      <c r="H60" s="79"/>
      <c r="I60" s="79"/>
      <c r="Q60" s="79" t="s">
        <v>135</v>
      </c>
      <c r="R60" s="79"/>
      <c r="S60" s="79"/>
    </row>
    <row r="61" spans="7:19" ht="15">
      <c r="G61" s="82">
        <v>146.41</v>
      </c>
      <c r="H61" s="79"/>
      <c r="I61" s="79"/>
      <c r="Q61" s="82">
        <v>3.6284722222222223</v>
      </c>
      <c r="R61" s="79"/>
      <c r="S61" s="79"/>
    </row>
    <row r="62" spans="7:19" ht="15">
      <c r="G62" s="79" t="s">
        <v>135</v>
      </c>
      <c r="H62" s="79"/>
      <c r="I62" s="79"/>
      <c r="Q62" s="79" t="s">
        <v>140</v>
      </c>
      <c r="R62" s="79"/>
      <c r="S62" s="79"/>
    </row>
    <row r="63" spans="7:19" ht="15">
      <c r="G63" s="82">
        <f>G61/35</f>
        <v>4.183142857142857</v>
      </c>
      <c r="H63" s="79"/>
      <c r="I63" s="79"/>
      <c r="Q63" s="82">
        <v>836.9661</v>
      </c>
      <c r="R63" s="79"/>
      <c r="S63" s="79"/>
    </row>
    <row r="64" spans="7:19" ht="15">
      <c r="G64" s="79" t="s">
        <v>138</v>
      </c>
      <c r="H64" s="79"/>
      <c r="I64" s="79"/>
      <c r="Q64" s="79" t="s">
        <v>139</v>
      </c>
      <c r="R64" s="79"/>
      <c r="S64" s="79"/>
    </row>
    <row r="65" spans="7:19" ht="15">
      <c r="G65" s="82">
        <v>197.5</v>
      </c>
      <c r="H65" s="79"/>
      <c r="I65" s="79"/>
      <c r="Q65" s="82">
        <v>6.407395980861244</v>
      </c>
      <c r="R65" s="79"/>
      <c r="S65" s="79"/>
    </row>
    <row r="66" spans="7:19" ht="15">
      <c r="G66" s="79" t="s">
        <v>139</v>
      </c>
      <c r="H66" s="79"/>
      <c r="I66" s="79"/>
      <c r="Q66" s="79"/>
      <c r="R66" s="79"/>
      <c r="S66" s="79"/>
    </row>
    <row r="67" spans="7:19" ht="15">
      <c r="G67" s="82">
        <v>1.56</v>
      </c>
      <c r="H67" s="79"/>
      <c r="I67" s="79"/>
      <c r="Q67" s="79" t="s">
        <v>141</v>
      </c>
      <c r="R67" s="79"/>
      <c r="S67" s="79"/>
    </row>
    <row r="68" spans="7:19" ht="15">
      <c r="G68" s="79"/>
      <c r="H68" s="79"/>
      <c r="I68" s="79"/>
      <c r="Q68" s="82">
        <v>84.44928354923815</v>
      </c>
      <c r="R68" s="79"/>
      <c r="S68" s="79"/>
    </row>
    <row r="69" spans="7:19" ht="15">
      <c r="G69" s="79" t="s">
        <v>179</v>
      </c>
      <c r="H69" s="79"/>
      <c r="I69" s="79"/>
      <c r="Q69" s="79" t="s">
        <v>142</v>
      </c>
      <c r="R69" s="79"/>
      <c r="S69" s="79"/>
    </row>
    <row r="70" spans="7:19" ht="15">
      <c r="G70" s="82">
        <f>M46-G72</f>
        <v>103.74000000000002</v>
      </c>
      <c r="H70" s="79"/>
      <c r="I70" s="79"/>
      <c r="Q70" s="82">
        <v>7.873713463424624</v>
      </c>
      <c r="R70" s="79"/>
      <c r="S70" s="79"/>
    </row>
    <row r="71" spans="7:9" ht="15">
      <c r="G71" s="79" t="s">
        <v>178</v>
      </c>
      <c r="H71" s="79"/>
      <c r="I71" s="79"/>
    </row>
    <row r="72" spans="7:9" ht="15">
      <c r="G72" s="82">
        <v>42.67</v>
      </c>
      <c r="H72" s="79"/>
      <c r="I72" s="79"/>
    </row>
  </sheetData>
  <printOptions gridLines="1"/>
  <pageMargins left="0.7" right="0.7" top="0.75" bottom="0.75" header="0.5118055555555555" footer="0.5118055555555555"/>
  <pageSetup horizontalDpi="300" verticalDpi="300" orientation="landscape" scale="56"/>
  <colBreaks count="1" manualBreakCount="1">
    <brk id="17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90" zoomScaleNormal="90" zoomScaleSheetLayoutView="110" workbookViewId="0" topLeftCell="A21">
      <selection activeCell="D48" sqref="D48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5">
      <c r="A1" s="46" t="s">
        <v>92</v>
      </c>
    </row>
    <row r="2" spans="1:7" ht="15">
      <c r="A2" t="s">
        <v>93</v>
      </c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ht="15">
      <c r="A3">
        <v>4</v>
      </c>
      <c r="B3">
        <v>4</v>
      </c>
      <c r="C3">
        <v>25</v>
      </c>
      <c r="D3" s="44">
        <f aca="true" t="shared" si="0" ref="D3:D14">B3/C3</f>
        <v>0.16</v>
      </c>
      <c r="E3" s="44">
        <f aca="true" t="shared" si="1" ref="E3:E14">3.8*D3</f>
        <v>0.608</v>
      </c>
      <c r="F3">
        <v>8</v>
      </c>
      <c r="G3" s="44">
        <f aca="true" t="shared" si="2" ref="G3:G14">A3*3.8</f>
        <v>15.2</v>
      </c>
    </row>
    <row r="4" spans="1:7" ht="15">
      <c r="A4">
        <v>7</v>
      </c>
      <c r="B4">
        <v>3</v>
      </c>
      <c r="C4">
        <v>19</v>
      </c>
      <c r="D4" s="44">
        <f t="shared" si="0"/>
        <v>0.15789473684210525</v>
      </c>
      <c r="E4" s="44">
        <f t="shared" si="1"/>
        <v>0.6</v>
      </c>
      <c r="F4">
        <v>11</v>
      </c>
      <c r="G4" s="44">
        <f t="shared" si="2"/>
        <v>26.599999999999998</v>
      </c>
    </row>
    <row r="5" spans="1:7" ht="15">
      <c r="A5">
        <v>10</v>
      </c>
      <c r="B5">
        <v>3</v>
      </c>
      <c r="C5">
        <v>18</v>
      </c>
      <c r="D5" s="44">
        <f t="shared" si="0"/>
        <v>0.16666666666666666</v>
      </c>
      <c r="E5" s="44">
        <f t="shared" si="1"/>
        <v>0.6333333333333333</v>
      </c>
      <c r="F5">
        <v>13.5</v>
      </c>
      <c r="G5" s="44">
        <f t="shared" si="2"/>
        <v>38</v>
      </c>
    </row>
    <row r="6" spans="1:7" ht="15">
      <c r="A6">
        <v>14</v>
      </c>
      <c r="B6">
        <v>4</v>
      </c>
      <c r="C6">
        <v>23</v>
      </c>
      <c r="D6" s="44">
        <f t="shared" si="0"/>
        <v>0.17391304347826086</v>
      </c>
      <c r="E6" s="44">
        <f t="shared" si="1"/>
        <v>0.6608695652173913</v>
      </c>
      <c r="F6">
        <v>16.5</v>
      </c>
      <c r="G6" s="44">
        <f t="shared" si="2"/>
        <v>53.199999999999996</v>
      </c>
    </row>
    <row r="7" spans="1:7" ht="15">
      <c r="A7">
        <v>18</v>
      </c>
      <c r="B7">
        <v>4</v>
      </c>
      <c r="C7">
        <v>23</v>
      </c>
      <c r="D7" s="44">
        <f t="shared" si="0"/>
        <v>0.17391304347826086</v>
      </c>
      <c r="E7" s="44">
        <f t="shared" si="1"/>
        <v>0.6608695652173913</v>
      </c>
      <c r="F7">
        <v>20</v>
      </c>
      <c r="G7" s="44">
        <f t="shared" si="2"/>
        <v>68.39999999999999</v>
      </c>
    </row>
    <row r="8" spans="1:7" ht="15">
      <c r="A8">
        <v>22</v>
      </c>
      <c r="B8">
        <v>4</v>
      </c>
      <c r="C8">
        <v>23</v>
      </c>
      <c r="D8" s="44">
        <f t="shared" si="0"/>
        <v>0.17391304347826086</v>
      </c>
      <c r="E8" s="44">
        <f t="shared" si="1"/>
        <v>0.6608695652173913</v>
      </c>
      <c r="F8">
        <v>24</v>
      </c>
      <c r="G8" s="44">
        <f t="shared" si="2"/>
        <v>83.6</v>
      </c>
    </row>
    <row r="9" spans="1:7" ht="15">
      <c r="A9">
        <v>28</v>
      </c>
      <c r="B9">
        <v>6</v>
      </c>
      <c r="C9">
        <v>37</v>
      </c>
      <c r="D9" s="44">
        <f t="shared" si="0"/>
        <v>0.16216216216216217</v>
      </c>
      <c r="E9" s="44">
        <f t="shared" si="1"/>
        <v>0.6162162162162163</v>
      </c>
      <c r="F9">
        <v>29.5</v>
      </c>
      <c r="G9" s="44">
        <f t="shared" si="2"/>
        <v>106.39999999999999</v>
      </c>
    </row>
    <row r="10" spans="1:7" ht="15">
      <c r="A10">
        <v>30</v>
      </c>
      <c r="B10">
        <v>2</v>
      </c>
      <c r="C10">
        <v>12</v>
      </c>
      <c r="D10" s="44">
        <f t="shared" si="0"/>
        <v>0.16666666666666666</v>
      </c>
      <c r="E10" s="44">
        <f t="shared" si="1"/>
        <v>0.6333333333333333</v>
      </c>
      <c r="F10">
        <v>31</v>
      </c>
      <c r="G10" s="44">
        <f t="shared" si="2"/>
        <v>114</v>
      </c>
    </row>
    <row r="11" spans="1:7" ht="15">
      <c r="A11">
        <v>34</v>
      </c>
      <c r="B11">
        <v>4</v>
      </c>
      <c r="C11">
        <v>24</v>
      </c>
      <c r="D11" s="44">
        <f t="shared" si="0"/>
        <v>0.16666666666666666</v>
      </c>
      <c r="E11" s="44">
        <f t="shared" si="1"/>
        <v>0.6333333333333333</v>
      </c>
      <c r="F11">
        <v>36</v>
      </c>
      <c r="G11" s="44">
        <f t="shared" si="2"/>
        <v>129.2</v>
      </c>
    </row>
    <row r="12" spans="1:7" ht="15">
      <c r="A12">
        <v>35</v>
      </c>
      <c r="B12">
        <v>1</v>
      </c>
      <c r="C12">
        <v>6</v>
      </c>
      <c r="D12" s="44">
        <f t="shared" si="0"/>
        <v>0.16666666666666666</v>
      </c>
      <c r="E12" s="44">
        <f t="shared" si="1"/>
        <v>0.6333333333333333</v>
      </c>
      <c r="F12">
        <v>37.5</v>
      </c>
      <c r="G12" s="44">
        <f t="shared" si="2"/>
        <v>133</v>
      </c>
    </row>
    <row r="13" spans="1:7" ht="15">
      <c r="A13">
        <v>36</v>
      </c>
      <c r="B13">
        <v>1</v>
      </c>
      <c r="C13">
        <v>6</v>
      </c>
      <c r="D13" s="44">
        <f t="shared" si="0"/>
        <v>0.16666666666666666</v>
      </c>
      <c r="E13" s="44">
        <f t="shared" si="1"/>
        <v>0.6333333333333333</v>
      </c>
      <c r="F13">
        <v>39</v>
      </c>
      <c r="G13" s="44">
        <f t="shared" si="2"/>
        <v>136.79999999999998</v>
      </c>
    </row>
    <row r="14" spans="1:7" ht="15">
      <c r="A14">
        <v>37</v>
      </c>
      <c r="B14">
        <v>1</v>
      </c>
      <c r="C14">
        <v>6</v>
      </c>
      <c r="D14" s="44">
        <f t="shared" si="0"/>
        <v>0.16666666666666666</v>
      </c>
      <c r="E14" s="44">
        <f t="shared" si="1"/>
        <v>0.6333333333333333</v>
      </c>
      <c r="F14">
        <v>40</v>
      </c>
      <c r="G14" s="44">
        <f t="shared" si="2"/>
        <v>140.6</v>
      </c>
    </row>
    <row r="15" spans="2:6" ht="15">
      <c r="B15" s="46" t="s">
        <v>100</v>
      </c>
      <c r="C15" s="46"/>
      <c r="D15" s="46">
        <f>AVERAGE(D3:D14)</f>
        <v>0.1668163357865875</v>
      </c>
      <c r="E15" s="46">
        <f>AVERAGE(E3:E14)</f>
        <v>0.6339020759890324</v>
      </c>
      <c r="F15" s="46"/>
    </row>
    <row r="16" spans="1:9" ht="15">
      <c r="A16" s="76" t="s">
        <v>101</v>
      </c>
      <c r="B16" s="46"/>
      <c r="D16" s="46"/>
      <c r="E16" s="46"/>
      <c r="F16" s="63" t="s">
        <v>102</v>
      </c>
      <c r="G16" s="45">
        <f>(G14-G3)/(F14-F3)</f>
        <v>3.9187499999999997</v>
      </c>
      <c r="H16" t="s">
        <v>103</v>
      </c>
      <c r="I16" s="44"/>
    </row>
    <row r="17" spans="1:8" ht="15">
      <c r="A17" t="s">
        <v>104</v>
      </c>
      <c r="B17" s="46"/>
      <c r="C17" s="46"/>
      <c r="D17" s="46"/>
      <c r="E17" s="46"/>
      <c r="F17" s="46"/>
      <c r="G17" s="44">
        <f>G16/3.78</f>
        <v>1.036706349206349</v>
      </c>
      <c r="H17" t="s">
        <v>105</v>
      </c>
    </row>
    <row r="18" spans="1:6" ht="15">
      <c r="A18" t="s">
        <v>106</v>
      </c>
      <c r="B18" s="46"/>
      <c r="C18" s="46"/>
      <c r="D18" s="46"/>
      <c r="E18" s="46"/>
      <c r="F18" s="46"/>
    </row>
    <row r="20" ht="15">
      <c r="A20" s="46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5" spans="1:3" ht="15">
      <c r="A25" t="s">
        <v>111</v>
      </c>
      <c r="B25" t="s">
        <v>112</v>
      </c>
      <c r="C25" t="s">
        <v>113</v>
      </c>
    </row>
    <row r="26" spans="1:3" ht="15">
      <c r="A26">
        <v>5</v>
      </c>
      <c r="B26">
        <v>7.5</v>
      </c>
      <c r="C26" s="44">
        <f aca="true" t="shared" si="3" ref="C26:C44">A26*3.785</f>
        <v>18.925</v>
      </c>
    </row>
    <row r="27" spans="1:3" ht="15">
      <c r="A27">
        <v>10</v>
      </c>
      <c r="B27">
        <v>9.5</v>
      </c>
      <c r="C27" s="44">
        <f t="shared" si="3"/>
        <v>37.85</v>
      </c>
    </row>
    <row r="28" spans="1:3" ht="15">
      <c r="A28">
        <v>15</v>
      </c>
      <c r="B28">
        <v>11</v>
      </c>
      <c r="C28" s="44">
        <f t="shared" si="3"/>
        <v>56.775000000000006</v>
      </c>
    </row>
    <row r="29" spans="1:3" ht="15">
      <c r="A29">
        <v>20</v>
      </c>
      <c r="B29">
        <v>13</v>
      </c>
      <c r="C29" s="44">
        <f t="shared" si="3"/>
        <v>75.7</v>
      </c>
    </row>
    <row r="30" spans="1:3" ht="15">
      <c r="A30">
        <v>30</v>
      </c>
      <c r="B30">
        <v>17</v>
      </c>
      <c r="C30" s="44">
        <f t="shared" si="3"/>
        <v>113.55000000000001</v>
      </c>
    </row>
    <row r="31" spans="1:3" ht="15">
      <c r="A31">
        <v>40</v>
      </c>
      <c r="B31">
        <v>22</v>
      </c>
      <c r="C31" s="44">
        <f t="shared" si="3"/>
        <v>151.4</v>
      </c>
    </row>
    <row r="32" spans="1:3" ht="15">
      <c r="A32">
        <v>50</v>
      </c>
      <c r="B32">
        <v>24</v>
      </c>
      <c r="C32" s="44">
        <f t="shared" si="3"/>
        <v>189.25</v>
      </c>
    </row>
    <row r="33" spans="1:19" ht="15">
      <c r="A33">
        <v>60</v>
      </c>
      <c r="B33">
        <v>27.5</v>
      </c>
      <c r="C33" s="44">
        <f t="shared" si="3"/>
        <v>227.10000000000002</v>
      </c>
      <c r="S33" t="s">
        <v>70</v>
      </c>
    </row>
    <row r="34" spans="1:3" ht="15">
      <c r="A34">
        <v>70</v>
      </c>
      <c r="B34">
        <v>30</v>
      </c>
      <c r="C34" s="44">
        <f t="shared" si="3"/>
        <v>264.95</v>
      </c>
    </row>
    <row r="35" spans="1:3" ht="15">
      <c r="A35">
        <v>80</v>
      </c>
      <c r="B35">
        <v>33</v>
      </c>
      <c r="C35" s="44">
        <f t="shared" si="3"/>
        <v>302.8</v>
      </c>
    </row>
    <row r="36" spans="1:3" ht="15">
      <c r="A36">
        <v>90</v>
      </c>
      <c r="B36">
        <v>38</v>
      </c>
      <c r="C36" s="44">
        <f t="shared" si="3"/>
        <v>340.65000000000003</v>
      </c>
    </row>
    <row r="37" spans="1:19" ht="15">
      <c r="A37">
        <v>100</v>
      </c>
      <c r="B37">
        <v>41</v>
      </c>
      <c r="C37" s="44">
        <f t="shared" si="3"/>
        <v>378.5</v>
      </c>
      <c r="H37" t="s">
        <v>70</v>
      </c>
      <c r="S37" t="s">
        <v>70</v>
      </c>
    </row>
    <row r="38" spans="1:3" ht="15">
      <c r="A38">
        <v>110</v>
      </c>
      <c r="B38">
        <v>45</v>
      </c>
      <c r="C38" s="44">
        <f t="shared" si="3"/>
        <v>416.35</v>
      </c>
    </row>
    <row r="39" spans="1:3" ht="15">
      <c r="A39">
        <v>120</v>
      </c>
      <c r="B39">
        <v>48</v>
      </c>
      <c r="C39" s="44">
        <f t="shared" si="3"/>
        <v>454.20000000000005</v>
      </c>
    </row>
    <row r="40" spans="1:3" ht="15">
      <c r="A40">
        <v>130</v>
      </c>
      <c r="B40">
        <v>51.5</v>
      </c>
      <c r="C40" s="44">
        <f t="shared" si="3"/>
        <v>492.05</v>
      </c>
    </row>
    <row r="41" spans="1:3" ht="15">
      <c r="A41">
        <v>140</v>
      </c>
      <c r="B41">
        <v>55</v>
      </c>
      <c r="C41" s="44">
        <f t="shared" si="3"/>
        <v>529.9</v>
      </c>
    </row>
    <row r="42" spans="1:3" ht="15">
      <c r="A42">
        <v>150</v>
      </c>
      <c r="B42">
        <v>58</v>
      </c>
      <c r="C42" s="44">
        <f t="shared" si="3"/>
        <v>567.75</v>
      </c>
    </row>
    <row r="43" spans="1:3" ht="15">
      <c r="A43">
        <v>160</v>
      </c>
      <c r="B43">
        <v>61</v>
      </c>
      <c r="C43" s="44">
        <f t="shared" si="3"/>
        <v>605.6</v>
      </c>
    </row>
    <row r="44" spans="1:3" ht="15">
      <c r="A44">
        <v>166.7</v>
      </c>
      <c r="B44">
        <v>63</v>
      </c>
      <c r="C44" s="44">
        <f t="shared" si="3"/>
        <v>630.9594999999999</v>
      </c>
    </row>
    <row r="45" spans="1:4" ht="15">
      <c r="A45" s="77" t="s">
        <v>114</v>
      </c>
      <c r="B45" s="45">
        <f>(C43-C26)/(B43-B26)</f>
        <v>10.965887850467292</v>
      </c>
      <c r="C45" t="s">
        <v>103</v>
      </c>
      <c r="D45" s="44"/>
    </row>
    <row r="46" spans="1:4" ht="15">
      <c r="A46" s="77" t="s">
        <v>7</v>
      </c>
      <c r="B46" s="78" t="s">
        <v>115</v>
      </c>
      <c r="C46" t="s">
        <v>16</v>
      </c>
      <c r="D46" s="44"/>
    </row>
    <row r="47" spans="1:3" ht="15">
      <c r="A47" t="s">
        <v>116</v>
      </c>
      <c r="B47" s="44">
        <f>A44*3.785</f>
        <v>630.9594999999999</v>
      </c>
      <c r="C47" t="s">
        <v>16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SheetLayoutView="110" workbookViewId="0" topLeftCell="A1">
      <selection activeCell="G7" sqref="G7"/>
    </sheetView>
  </sheetViews>
  <sheetFormatPr defaultColWidth="9.140625" defaultRowHeight="15"/>
  <cols>
    <col min="1" max="16384" width="11.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2010-06-01T02:32:00Z</dcterms:modified>
  <cp:category/>
  <cp:version/>
  <cp:contentType/>
  <cp:contentStatus/>
</cp:coreProperties>
</file>