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43" activeTab="2"/>
  </bookViews>
  <sheets>
    <sheet name="Water" sheetId="1" r:id="rId1"/>
    <sheet name="Sewage" sheetId="2" r:id="rId2"/>
    <sheet name="Energy" sheetId="3" r:id="rId3"/>
    <sheet name="Propane and lamp oil" sheetId="4" r:id="rId4"/>
    <sheet name="RecycleWaste" sheetId="5" r:id="rId5"/>
    <sheet name="Calibrations" sheetId="6" r:id="rId6"/>
    <sheet name="Graphs" sheetId="7" r:id="rId7"/>
  </sheets>
  <definedNames>
    <definedName name="_xlnm.Print_Area" localSheetId="2">'Energy'!$A$1:$L$1</definedName>
  </definedNames>
  <calcPr fullCalcOnLoad="1"/>
</workbook>
</file>

<file path=xl/comments3.xml><?xml version="1.0" encoding="utf-8"?>
<comments xmlns="http://schemas.openxmlformats.org/spreadsheetml/2006/main">
  <authors>
    <author/>
  </authors>
  <commentList>
    <comment ref="E31" authorId="0">
      <text>
        <r>
          <rPr>
            <sz val="11"/>
            <color indexed="8"/>
            <rFont val="Calibri"/>
            <family val="2"/>
          </rPr>
          <t>Port Link 10 not working</t>
        </r>
      </text>
    </comment>
  </commentList>
</comments>
</file>

<file path=xl/sharedStrings.xml><?xml version="1.0" encoding="utf-8"?>
<sst xmlns="http://schemas.openxmlformats.org/spreadsheetml/2006/main" count="244" uniqueCount="145">
  <si>
    <t>Fresh water fluxes</t>
  </si>
  <si>
    <t>Procedure:</t>
  </si>
  <si>
    <t>Water remaining calculator</t>
  </si>
  <si>
    <t>1) Fill in measured (blue) values</t>
  </si>
  <si>
    <t>Conversion factors:</t>
  </si>
  <si>
    <t>liters/gal</t>
  </si>
  <si>
    <t>Liters/cm</t>
  </si>
  <si>
    <t>Intercept</t>
  </si>
  <si>
    <t>Volume remaining</t>
  </si>
  <si>
    <t>Mean l/per/d</t>
  </si>
  <si>
    <t>Future # people</t>
  </si>
  <si>
    <t>Days remaining</t>
  </si>
  <si>
    <t>2) Calculate and enter the time period associated with Volume used</t>
  </si>
  <si>
    <t>3) Note computed values for sustainability report</t>
  </si>
  <si>
    <t>4) Update averages for the current week and graph trends</t>
  </si>
  <si>
    <t>Total tank V:</t>
  </si>
  <si>
    <t>Liters</t>
  </si>
  <si>
    <t>Date</t>
  </si>
  <si>
    <t>Time</t>
  </si>
  <si>
    <t>Depth</t>
  </si>
  <si>
    <t>Metric Volume</t>
  </si>
  <si>
    <t>American Volume</t>
  </si>
  <si>
    <t>Volume used</t>
  </si>
  <si>
    <t>Time period</t>
  </si>
  <si>
    <t>Daily use rate</t>
  </si>
  <si>
    <t>Number of people</t>
  </si>
  <si>
    <t xml:space="preserve">Daily per person use </t>
  </si>
  <si>
    <t>Notes</t>
  </si>
  <si>
    <t>(hr)</t>
  </si>
  <si>
    <t>(min)</t>
  </si>
  <si>
    <t>(cm)</t>
  </si>
  <si>
    <t>(liters)</t>
  </si>
  <si>
    <t>(gallons)</t>
  </si>
  <si>
    <t>(hrs)</t>
  </si>
  <si>
    <t>(l/d)</t>
  </si>
  <si>
    <t>(gal/d)</t>
  </si>
  <si>
    <t xml:space="preserve">(l/person/d) </t>
  </si>
  <si>
    <t>(gal/person/d)</t>
  </si>
  <si>
    <t>Week 1</t>
  </si>
  <si>
    <t>Refill at Roche Harbor</t>
  </si>
  <si>
    <t>Refill at Friday Harbor</t>
  </si>
  <si>
    <t>Pre-refill at Roche Harbor</t>
  </si>
  <si>
    <t>Mostly overnight “use”</t>
  </si>
  <si>
    <t>At FHL</t>
  </si>
  <si>
    <t>Refill at FHL</t>
  </si>
  <si>
    <t xml:space="preserve">Right before refill </t>
  </si>
  <si>
    <t>Sewage fluxes</t>
  </si>
  <si>
    <t>Daily usage</t>
  </si>
  <si>
    <t>Pumped out Roche</t>
  </si>
  <si>
    <t>At FHL dock so used land heads</t>
  </si>
  <si>
    <t>Pumped out FH</t>
  </si>
  <si>
    <t>Pumped out at Roche Harbor</t>
  </si>
  <si>
    <t>Actually pumped out before but only left FHL at 16:00 and didn't use head before then.</t>
  </si>
  <si>
    <t>Tied up to dock at Jones so used land heads</t>
  </si>
  <si>
    <t>Pumped out at Roche</t>
  </si>
  <si>
    <t>Right before pump out</t>
  </si>
  <si>
    <t>Pumped out at Friday Harbor</t>
  </si>
  <si>
    <t>Before pump out at Roche</t>
  </si>
  <si>
    <t>ENERGY:</t>
  </si>
  <si>
    <t>Assumptions and conversion factors</t>
  </si>
  <si>
    <t>Voltage</t>
  </si>
  <si>
    <t>Volts</t>
  </si>
  <si>
    <t>Burn rate</t>
  </si>
  <si>
    <t>gal/hr</t>
  </si>
  <si>
    <t>Daily energy use</t>
  </si>
  <si>
    <t>Total energy use</t>
  </si>
  <si>
    <t>Engine run time</t>
  </si>
  <si>
    <t>Port</t>
  </si>
  <si>
    <t>Starboard</t>
  </si>
  <si>
    <t>Cumulative</t>
  </si>
  <si>
    <t>Overnight</t>
  </si>
  <si>
    <t>Biodiesel</t>
  </si>
  <si>
    <t>Tot Usage</t>
  </si>
  <si>
    <t>(hours)</t>
  </si>
  <si>
    <t>(kWhr)</t>
  </si>
  <si>
    <t>(Ah)</t>
  </si>
  <si>
    <t>Volume</t>
  </si>
  <si>
    <t>(gal)</t>
  </si>
  <si>
    <t>15/16</t>
  </si>
  <si>
    <t>Lots of computing night before</t>
  </si>
  <si>
    <t>13/16</t>
  </si>
  <si>
    <t>Missed reading on 4/26 while at FL docks</t>
  </si>
  <si>
    <t>16/16</t>
  </si>
  <si>
    <t>~60?</t>
  </si>
  <si>
    <t>A little under 10/16</t>
  </si>
  <si>
    <t>“</t>
  </si>
  <si>
    <t>The engine hours were reset because the engine was replaced after we sucked in salt water into the air intake.  We also reset the Lynk 10 meters for this leg of the trip.</t>
  </si>
  <si>
    <t>0516/08</t>
  </si>
  <si>
    <t>¾</t>
  </si>
  <si>
    <t>Hooked into shore power</t>
  </si>
  <si>
    <t>Hooked into shore power, refill biodiesel</t>
  </si>
  <si>
    <t>?</t>
  </si>
  <si>
    <t>1/3?</t>
  </si>
  <si>
    <t>¼</t>
  </si>
  <si>
    <t>At FHL, Amph reset to zero 5/25/08</t>
  </si>
  <si>
    <t>Systems Reports:</t>
  </si>
  <si>
    <t>PROPANE:</t>
  </si>
  <si>
    <t>Date:</t>
  </si>
  <si>
    <t>Time:</t>
  </si>
  <si>
    <t>Level:</t>
  </si>
  <si>
    <t>1/4 full</t>
  </si>
  <si>
    <t>¾ full</t>
  </si>
  <si>
    <t>Full</t>
  </si>
  <si>
    <t>propane=full</t>
  </si>
  <si>
    <t>1/8 full</t>
  </si>
  <si>
    <t>Propane tank changed for new one 5/19/08</t>
  </si>
  <si>
    <t>&lt;1/3 full</t>
  </si>
  <si>
    <t>Propane tank=practically full</t>
  </si>
  <si>
    <t>Lamp oil=full</t>
  </si>
  <si>
    <t>RECYCLE &amp; WASTE:</t>
  </si>
  <si>
    <t>Recycle:</t>
  </si>
  <si>
    <t>Waste:</t>
  </si>
  <si>
    <t>Compost</t>
  </si>
  <si>
    <t>Mass (kg)</t>
  </si>
  <si>
    <t>1 bag</t>
  </si>
  <si>
    <t>1bag</t>
  </si>
  <si>
    <t>HOLDING TANK CALIBRATION</t>
  </si>
  <si>
    <t>Total gal</t>
  </si>
  <si>
    <t>Gallons</t>
  </si>
  <si>
    <t>Pumps *</t>
  </si>
  <si>
    <t>Gal/pump</t>
  </si>
  <si>
    <t>L/pump</t>
  </si>
  <si>
    <t>Cm</t>
  </si>
  <si>
    <t>Total L</t>
  </si>
  <si>
    <t>mean</t>
  </si>
  <si>
    <t>* A “pump” is a full stroke up AND down</t>
  </si>
  <si>
    <t>Trend~</t>
  </si>
  <si>
    <t>l/cm</t>
  </si>
  <si>
    <t>Insight: Every pump is about 2/3 liter!</t>
  </si>
  <si>
    <t>gal/cm</t>
  </si>
  <si>
    <t xml:space="preserve">French flush (per directions) is about </t>
  </si>
  <si>
    <t>FRESHWATER TANK CALIBRATION</t>
  </si>
  <si>
    <t>Filled at Roche Harbor, time taken to fill 5 gallon = 35 seconds</t>
  </si>
  <si>
    <t xml:space="preserve">Notes: Non-linear at top of tank! Tank “empty” with 3cm remaining at bottom of tank. </t>
  </si>
  <si>
    <t>Note:  Height of tank in dip corner is 25 inches = 63.5cm, BUT level measured right after fill can be 79+cm...</t>
  </si>
  <si>
    <t># of Gallons</t>
  </si>
  <si>
    <t>Cm (on stick)</t>
  </si>
  <si>
    <t>Volume (L)</t>
  </si>
  <si>
    <t xml:space="preserve"> </t>
  </si>
  <si>
    <t>Slope</t>
  </si>
  <si>
    <t>Total Fresh volume:</t>
  </si>
  <si>
    <t>Refill at Roche</t>
  </si>
  <si>
    <t>pumped out Roche</t>
  </si>
  <si>
    <t>7/16</t>
  </si>
  <si>
    <t>Usage since last reading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</si>
</sst>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hh:mm"/>
    <numFmt numFmtId="167" formatCode="mm/dd/yy"/>
    <numFmt numFmtId="168" formatCode="hh:mm:ss\ AM/PM"/>
    <numFmt numFmtId="169" formatCode="m/d"/>
    <numFmt numFmtId="170" formatCode="hh:mm\ AM/PM"/>
    <numFmt numFmtId="171" formatCode="[$-409]dddd\,\ mmmm\ dd\,\ yyyy"/>
    <numFmt numFmtId="172" formatCode="mm/dd/yy;@"/>
    <numFmt numFmtId="173" formatCode="m/d/yy;@"/>
  </numFmts>
  <fonts count="32">
    <font>
      <sz val="11"/>
      <color indexed="8"/>
      <name val="Calibri"/>
      <family val="2"/>
    </font>
    <font>
      <sz val="10"/>
      <name val="Arial"/>
      <family val="0"/>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b/>
      <sz val="11"/>
      <color indexed="18"/>
      <name val="Calibri"/>
      <family val="2"/>
    </font>
    <font>
      <sz val="11"/>
      <color indexed="18"/>
      <name val="Calibri"/>
      <family val="2"/>
    </font>
    <font>
      <sz val="19.1"/>
      <name val="Arial"/>
      <family val="5"/>
    </font>
    <font>
      <sz val="8.4"/>
      <name val="Arial"/>
      <family val="5"/>
    </font>
    <font>
      <sz val="7.2"/>
      <name val="Arial"/>
      <family val="5"/>
    </font>
    <font>
      <sz val="15.7"/>
      <name val="Arial"/>
      <family val="5"/>
    </font>
    <font>
      <i/>
      <sz val="11"/>
      <color indexed="8"/>
      <name val="Calibri"/>
      <family val="2"/>
    </font>
    <font>
      <sz val="6"/>
      <name val="Arial"/>
      <family val="5"/>
    </font>
    <font>
      <sz val="7"/>
      <name val="Arial"/>
      <family val="5"/>
    </font>
    <font>
      <sz val="9"/>
      <name val="Arial"/>
      <family val="5"/>
    </font>
    <font>
      <sz val="13"/>
      <name val="Arial"/>
      <family val="5"/>
    </font>
    <font>
      <sz val="8"/>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81">
    <xf numFmtId="0" fontId="0" fillId="0" borderId="0" xfId="0" applyAlignment="1">
      <alignment/>
    </xf>
    <xf numFmtId="0" fontId="16" fillId="0" borderId="0" xfId="0" applyFont="1" applyAlignment="1">
      <alignment/>
    </xf>
    <xf numFmtId="0" fontId="0" fillId="0" borderId="0" xfId="0" applyAlignment="1">
      <alignment wrapText="1"/>
    </xf>
    <xf numFmtId="0" fontId="16" fillId="24" borderId="0" xfId="0" applyFont="1" applyFill="1" applyAlignment="1">
      <alignment/>
    </xf>
    <xf numFmtId="0" fontId="0" fillId="24" borderId="0" xfId="0" applyFill="1" applyAlignment="1">
      <alignment/>
    </xf>
    <xf numFmtId="0" fontId="16" fillId="0" borderId="0" xfId="0" applyFont="1" applyAlignment="1">
      <alignment wrapText="1"/>
    </xf>
    <xf numFmtId="0" fontId="18" fillId="0" borderId="0" xfId="0" applyFont="1" applyBorder="1" applyAlignment="1">
      <alignment horizontal="left"/>
    </xf>
    <xf numFmtId="0" fontId="18" fillId="0" borderId="10" xfId="0" applyFont="1" applyBorder="1" applyAlignment="1">
      <alignment wrapText="1"/>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2" xfId="0" applyBorder="1" applyAlignment="1">
      <alignment/>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Border="1" applyAlignment="1">
      <alignment horizontal="right"/>
    </xf>
    <xf numFmtId="0" fontId="0" fillId="0" borderId="13" xfId="0" applyBorder="1" applyAlignment="1">
      <alignment/>
    </xf>
    <xf numFmtId="164" fontId="0" fillId="25" borderId="14" xfId="0" applyNumberFormat="1" applyFill="1" applyBorder="1" applyAlignment="1">
      <alignment horizontal="center"/>
    </xf>
    <xf numFmtId="0" fontId="0" fillId="25" borderId="14" xfId="0" applyFont="1" applyFill="1" applyBorder="1" applyAlignment="1">
      <alignment horizontal="center"/>
    </xf>
    <xf numFmtId="165" fontId="0" fillId="25" borderId="0" xfId="0" applyNumberFormat="1" applyFill="1" applyAlignment="1">
      <alignment/>
    </xf>
    <xf numFmtId="165" fontId="0" fillId="25" borderId="0" xfId="0" applyNumberFormat="1" applyFill="1" applyBorder="1" applyAlignment="1">
      <alignment/>
    </xf>
    <xf numFmtId="0" fontId="0" fillId="25" borderId="0" xfId="0" applyFill="1" applyBorder="1" applyAlignment="1">
      <alignment/>
    </xf>
    <xf numFmtId="0" fontId="0" fillId="0" borderId="0" xfId="0" applyFill="1" applyBorder="1" applyAlignment="1">
      <alignment/>
    </xf>
    <xf numFmtId="1" fontId="0" fillId="0" borderId="0" xfId="0" applyNumberFormat="1" applyAlignment="1">
      <alignment/>
    </xf>
    <xf numFmtId="0" fontId="0" fillId="0" borderId="11"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horizontal="center"/>
    </xf>
    <xf numFmtId="0" fontId="0" fillId="0" borderId="0" xfId="0" applyBorder="1" applyAlignment="1">
      <alignment/>
    </xf>
    <xf numFmtId="0" fontId="0" fillId="0" borderId="0" xfId="0" applyFill="1" applyAlignment="1">
      <alignment/>
    </xf>
    <xf numFmtId="0" fontId="16" fillId="25" borderId="0" xfId="0" applyFont="1" applyFill="1" applyAlignment="1">
      <alignment horizontal="center"/>
    </xf>
    <xf numFmtId="0" fontId="19" fillId="25" borderId="0" xfId="0" applyFont="1" applyFill="1" applyAlignment="1">
      <alignment horizontal="center"/>
    </xf>
    <xf numFmtId="0" fontId="16" fillId="0" borderId="0" xfId="0" applyFont="1" applyAlignment="1">
      <alignment horizontal="center" wrapText="1"/>
    </xf>
    <xf numFmtId="0" fontId="19" fillId="25" borderId="0" xfId="0" applyFont="1" applyFill="1" applyAlignment="1">
      <alignment horizontal="center" wrapText="1"/>
    </xf>
    <xf numFmtId="0" fontId="16" fillId="0" borderId="0" xfId="0" applyFont="1" applyAlignment="1">
      <alignment horizontal="center"/>
    </xf>
    <xf numFmtId="166" fontId="16" fillId="25" borderId="0" xfId="0" applyNumberFormat="1" applyFont="1" applyFill="1" applyAlignment="1">
      <alignment horizontal="center"/>
    </xf>
    <xf numFmtId="167" fontId="0" fillId="25" borderId="0" xfId="0" applyNumberFormat="1" applyFill="1" applyAlignment="1">
      <alignment/>
    </xf>
    <xf numFmtId="0" fontId="0" fillId="25" borderId="0" xfId="0" applyNumberFormat="1" applyFill="1" applyAlignment="1">
      <alignment/>
    </xf>
    <xf numFmtId="0" fontId="20" fillId="25" borderId="0" xfId="0" applyFont="1" applyFill="1" applyAlignment="1">
      <alignment/>
    </xf>
    <xf numFmtId="165" fontId="0" fillId="0" borderId="0" xfId="0" applyNumberFormat="1" applyAlignment="1">
      <alignment/>
    </xf>
    <xf numFmtId="2" fontId="20" fillId="25" borderId="0" xfId="0" applyNumberFormat="1" applyFont="1" applyFill="1" applyAlignment="1">
      <alignment/>
    </xf>
    <xf numFmtId="0" fontId="0" fillId="0" borderId="0" xfId="0" applyNumberFormat="1" applyAlignment="1">
      <alignment/>
    </xf>
    <xf numFmtId="0" fontId="0" fillId="25" borderId="0" xfId="0" applyFont="1" applyFill="1" applyAlignment="1">
      <alignment/>
    </xf>
    <xf numFmtId="0" fontId="0" fillId="25" borderId="0" xfId="0" applyFill="1" applyAlignment="1">
      <alignment/>
    </xf>
    <xf numFmtId="0" fontId="0" fillId="25" borderId="0" xfId="0" applyFont="1" applyFill="1" applyAlignment="1">
      <alignment wrapText="1"/>
    </xf>
    <xf numFmtId="0" fontId="0" fillId="26" borderId="0" xfId="0" applyFill="1" applyAlignment="1">
      <alignment/>
    </xf>
    <xf numFmtId="0" fontId="0" fillId="25" borderId="14" xfId="0" applyFill="1" applyBorder="1" applyAlignment="1">
      <alignment horizontal="center"/>
    </xf>
    <xf numFmtId="0" fontId="0" fillId="0" borderId="15" xfId="0" applyFill="1" applyBorder="1" applyAlignment="1">
      <alignment/>
    </xf>
    <xf numFmtId="0" fontId="0" fillId="0" borderId="16" xfId="0" applyFill="1" applyBorder="1" applyAlignment="1">
      <alignment horizontal="center"/>
    </xf>
    <xf numFmtId="0" fontId="0" fillId="0" borderId="16" xfId="0" applyFont="1" applyFill="1" applyBorder="1" applyAlignment="1">
      <alignment horizontal="center"/>
    </xf>
    <xf numFmtId="0" fontId="16" fillId="0" borderId="0" xfId="0" applyFont="1" applyFill="1" applyAlignment="1">
      <alignment/>
    </xf>
    <xf numFmtId="0" fontId="19" fillId="0" borderId="0" xfId="0" applyFont="1" applyAlignment="1">
      <alignment horizontal="center" wrapText="1"/>
    </xf>
    <xf numFmtId="14" fontId="0" fillId="25" borderId="0" xfId="0" applyNumberFormat="1" applyFill="1" applyAlignment="1">
      <alignment/>
    </xf>
    <xf numFmtId="0" fontId="0" fillId="25" borderId="0" xfId="0" applyNumberFormat="1" applyFont="1" applyFill="1" applyAlignment="1">
      <alignment horizontal="right"/>
    </xf>
    <xf numFmtId="0" fontId="0" fillId="0" borderId="0" xfId="0" applyAlignment="1">
      <alignment horizontal="left"/>
    </xf>
    <xf numFmtId="0" fontId="16" fillId="0" borderId="0" xfId="0" applyFont="1" applyAlignment="1">
      <alignment horizontal="left"/>
    </xf>
    <xf numFmtId="0" fontId="16" fillId="0" borderId="0" xfId="0" applyFont="1" applyAlignment="1">
      <alignment horizontal="right"/>
    </xf>
    <xf numFmtId="0" fontId="0" fillId="25" borderId="0" xfId="0" applyFill="1" applyAlignment="1">
      <alignment horizontal="left"/>
    </xf>
    <xf numFmtId="0" fontId="16" fillId="0" borderId="0" xfId="0" applyFont="1" applyBorder="1" applyAlignment="1">
      <alignment horizontal="left"/>
    </xf>
    <xf numFmtId="0" fontId="16" fillId="0" borderId="0" xfId="0" applyFont="1" applyBorder="1" applyAlignment="1">
      <alignment/>
    </xf>
    <xf numFmtId="0" fontId="16" fillId="0" borderId="0" xfId="0" applyFont="1" applyBorder="1" applyAlignment="1">
      <alignment horizontal="center"/>
    </xf>
    <xf numFmtId="14" fontId="0" fillId="0" borderId="0" xfId="0" applyNumberFormat="1" applyAlignment="1">
      <alignment horizontal="left"/>
    </xf>
    <xf numFmtId="166" fontId="0" fillId="0" borderId="0" xfId="0" applyNumberFormat="1" applyAlignment="1">
      <alignment horizontal="left"/>
    </xf>
    <xf numFmtId="167" fontId="0" fillId="0" borderId="0" xfId="0" applyNumberFormat="1" applyAlignment="1">
      <alignment horizontal="left"/>
    </xf>
    <xf numFmtId="168" fontId="0" fillId="0" borderId="0" xfId="0" applyNumberFormat="1" applyAlignment="1">
      <alignment horizontal="left"/>
    </xf>
    <xf numFmtId="167" fontId="0" fillId="0" borderId="0" xfId="0" applyNumberFormat="1" applyAlignment="1">
      <alignment/>
    </xf>
    <xf numFmtId="169" fontId="0" fillId="0" borderId="0" xfId="0" applyNumberFormat="1" applyAlignment="1">
      <alignment/>
    </xf>
    <xf numFmtId="20" fontId="0" fillId="0" borderId="0" xfId="0" applyNumberFormat="1" applyAlignment="1">
      <alignment horizontal="left"/>
    </xf>
    <xf numFmtId="0" fontId="0" fillId="0" borderId="0" xfId="0" applyFont="1" applyAlignment="1">
      <alignment horizontal="right"/>
    </xf>
    <xf numFmtId="20" fontId="0" fillId="0" borderId="0" xfId="0" applyNumberFormat="1" applyAlignment="1">
      <alignment/>
    </xf>
    <xf numFmtId="14" fontId="0" fillId="0" borderId="0" xfId="0" applyNumberFormat="1" applyAlignment="1">
      <alignment/>
    </xf>
    <xf numFmtId="168" fontId="0" fillId="0" borderId="0" xfId="0" applyNumberFormat="1" applyAlignment="1">
      <alignment/>
    </xf>
    <xf numFmtId="170" fontId="0" fillId="0" borderId="0" xfId="0" applyNumberFormat="1" applyAlignment="1">
      <alignment/>
    </xf>
    <xf numFmtId="18" fontId="0" fillId="0" borderId="0" xfId="0" applyNumberFormat="1" applyAlignment="1">
      <alignment/>
    </xf>
    <xf numFmtId="0" fontId="25" fillId="0" borderId="0" xfId="0" applyFont="1" applyAlignment="1">
      <alignment/>
    </xf>
    <xf numFmtId="0" fontId="0" fillId="0" borderId="0" xfId="0" applyNumberFormat="1" applyFill="1" applyAlignment="1">
      <alignment/>
    </xf>
    <xf numFmtId="172" fontId="0" fillId="25" borderId="0" xfId="0" applyNumberFormat="1" applyFill="1" applyAlignment="1">
      <alignment/>
    </xf>
    <xf numFmtId="0" fontId="0" fillId="27" borderId="0" xfId="0" applyFill="1" applyAlignment="1">
      <alignment/>
    </xf>
    <xf numFmtId="49" fontId="0" fillId="0" borderId="0" xfId="0" applyNumberFormat="1" applyAlignment="1">
      <alignment/>
    </xf>
    <xf numFmtId="2" fontId="0" fillId="0" borderId="0" xfId="0" applyNumberFormat="1" applyAlignment="1">
      <alignment/>
    </xf>
    <xf numFmtId="2" fontId="16" fillId="0" borderId="0" xfId="0" applyNumberFormat="1" applyFont="1" applyAlignment="1">
      <alignment/>
    </xf>
    <xf numFmtId="173" fontId="0" fillId="0" borderId="0" xfId="0" applyNumberFormat="1" applyAlignment="1">
      <alignment horizontal="left"/>
    </xf>
    <xf numFmtId="0" fontId="16" fillId="0" borderId="0" xfId="0" applyFont="1" applyBorder="1" applyAlignment="1">
      <alignment wrapText="1"/>
    </xf>
    <xf numFmtId="172" fontId="0" fillId="0" borderId="0" xfId="0" applyNumberForma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D9D9D9"/>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0" b="0" i="0" u="none" baseline="0">
                <a:solidFill>
                  <a:srgbClr val="000000"/>
                </a:solidFill>
              </a:rPr>
              <a:t>Daily Per Person Water Use</a:t>
            </a:r>
          </a:p>
        </c:rich>
      </c:tx>
      <c:layout/>
      <c:spPr>
        <a:noFill/>
        <a:ln>
          <a:noFill/>
        </a:ln>
      </c:spPr>
    </c:title>
    <c:plotArea>
      <c:layout/>
      <c:scatterChart>
        <c:scatterStyle val="lineMarker"/>
        <c:varyColors val="0"/>
        <c:ser>
          <c:idx val="0"/>
          <c:order val="0"/>
          <c:tx>
            <c:strRef>
              <c:f>Water!$M$7</c:f>
              <c:strCache>
                <c:ptCount val="1"/>
                <c:pt idx="0">
                  <c:v>Daily per person use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3366"/>
              </a:solidFill>
              <a:ln>
                <a:solidFill>
                  <a:srgbClr val="993366"/>
                </a:solidFill>
              </a:ln>
            </c:spPr>
          </c:marker>
          <c:dPt>
            <c:idx val="0"/>
            <c:spPr>
              <a:noFill/>
              <a:ln w="3175">
                <a:noFill/>
              </a:ln>
            </c:spPr>
            <c:marker>
              <c:size val="6"/>
              <c:spPr>
                <a:solidFill>
                  <a:srgbClr val="000000"/>
                </a:solidFill>
                <a:ln>
                  <a:solidFill>
                    <a:srgbClr val="000000"/>
                  </a:solidFill>
                </a:ln>
              </c:spPr>
            </c:marker>
          </c:dPt>
          <c:dLbls>
            <c:dLbl>
              <c:idx val="0"/>
              <c:txPr>
                <a:bodyPr vert="horz" rot="0" anchor="ctr"/>
                <a:lstStyle/>
                <a:p>
                  <a:pPr algn="ctr">
                    <a:defRPr lang="en-US" cap="none" sz="1910" b="0" i="0" u="none" baseline="0"/>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1910" b="0" i="0" u="none" baseline="0"/>
                </a:pPr>
              </a:p>
            </c:txPr>
            <c:showLegendKey val="0"/>
            <c:showVal val="0"/>
            <c:showBubbleSize val="0"/>
            <c:showCatName val="0"/>
            <c:showSerName val="0"/>
            <c:showPercent val="0"/>
          </c:dLbls>
          <c:xVal>
            <c:numRef>
              <c:f>Water!$L$11,Water!$L$13:$L$15,Water!$L$17:$L$18,Water!$L$20:$L$23,Water!$L$25:$L$26,Water!$L$29:$L$30,Water!$L$32:$L$35,Water!$L$37:$L$38,Water!$L$40:$L$41,Water!$L$44:$L$46</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xVal>
          <c:yVal>
            <c:numRef>
              <c:f>Water!$M$11,Water!$M$13:$M$15,Water!$M$17:$M$18,Water!$M$20:$M$23,Water!$M$25:$M$26,Water!$M$29:$M$30,Water!$M$32:$M$35,Water!$M$37:$M$38,Water!$M$40:$M$41,Water!$M$44:$M$46</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17668650"/>
        <c:axId val="24800123"/>
      </c:scatterChart>
      <c:valAx>
        <c:axId val="17668650"/>
        <c:scaling>
          <c:orientation val="minMax"/>
        </c:scaling>
        <c:axPos val="b"/>
        <c:delete val="0"/>
        <c:numFmt formatCode="General" sourceLinked="0"/>
        <c:majorTickMark val="out"/>
        <c:minorTickMark val="none"/>
        <c:tickLblPos val="low"/>
        <c:spPr>
          <a:ln w="3175">
            <a:solidFill>
              <a:srgbClr val="000000"/>
            </a:solidFill>
          </a:ln>
        </c:spPr>
        <c:txPr>
          <a:bodyPr vert="horz" rot="0"/>
          <a:lstStyle/>
          <a:p>
            <a:pPr>
              <a:defRPr lang="en-US" cap="none" sz="840" b="0" i="0" u="none" baseline="0">
                <a:solidFill>
                  <a:srgbClr val="000000"/>
                </a:solidFill>
              </a:defRPr>
            </a:pPr>
          </a:p>
        </c:txPr>
        <c:crossAx val="24800123"/>
        <c:crosses val="autoZero"/>
        <c:crossBetween val="midCat"/>
        <c:dispUnits/>
      </c:valAx>
      <c:valAx>
        <c:axId val="24800123"/>
        <c:scaling>
          <c:orientation val="minMax"/>
        </c:scaling>
        <c:axPos val="l"/>
        <c:majorGridlines>
          <c:spPr>
            <a:ln w="3175">
              <a:solidFill>
                <a:srgbClr val="00000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40" b="0" i="0" u="none" baseline="0">
                <a:solidFill>
                  <a:srgbClr val="000000"/>
                </a:solidFill>
              </a:defRPr>
            </a:pPr>
          </a:p>
        </c:txPr>
        <c:crossAx val="17668650"/>
        <c:crosses val="autoZero"/>
        <c:crossBetween val="midCat"/>
        <c:dispUnits/>
      </c:valAx>
      <c:spPr>
        <a:solidFill>
          <a:srgbClr val="D9D9D9"/>
        </a:solidFill>
        <a:ln w="3175">
          <a:noFill/>
        </a:ln>
      </c:spPr>
    </c:plotArea>
    <c:legend>
      <c:legendPos val="r"/>
      <c:layout/>
      <c:overlay val="0"/>
      <c:spPr>
        <a:solidFill>
          <a:srgbClr val="D9D9D9"/>
        </a:solidFill>
        <a:ln w="3175">
          <a:solidFill>
            <a:srgbClr val="000000"/>
          </a:solidFill>
        </a:ln>
      </c:spPr>
      <c:txPr>
        <a:bodyPr vert="horz" rot="0"/>
        <a:lstStyle/>
        <a:p>
          <a:pPr>
            <a:defRPr lang="en-US" cap="none" sz="720" b="0" i="0" u="none" baseline="0">
              <a:solidFill>
                <a:srgbClr val="000000"/>
              </a:solidFill>
            </a:defRPr>
          </a:pPr>
        </a:p>
      </c:txPr>
    </c:legend>
    <c:plotVisOnly val="0"/>
    <c:dispBlanksAs val="gap"/>
    <c:showDLblsOverMax val="0"/>
  </c:chart>
  <c:spPr>
    <a:solidFill>
      <a:srgbClr val="FFFFFF"/>
    </a:solidFill>
    <a:ln w="3175">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Freshwater tank calibration</a:t>
            </a:r>
          </a:p>
        </c:rich>
      </c:tx>
      <c:layout/>
      <c:spPr>
        <a:noFill/>
        <a:ln>
          <a:noFill/>
        </a:ln>
      </c:spPr>
    </c:title>
    <c:plotArea>
      <c:layout/>
      <c:scatterChart>
        <c:scatterStyle val="lineMarker"/>
        <c:varyColors val="0"/>
        <c:ser>
          <c:idx val="0"/>
          <c:order val="0"/>
          <c:tx>
            <c:strRef>
              <c:f>Calibrations!$C$25</c:f>
              <c:strCache>
                <c:ptCount val="1"/>
                <c:pt idx="0">
                  <c:v>Volume (L)</c:v>
                </c:pt>
              </c:strCache>
            </c:strRef>
          </c:tx>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3366"/>
              </a:solidFill>
              <a:ln>
                <a:solidFill>
                  <a:srgbClr val="000000"/>
                </a:solidFill>
              </a:ln>
            </c:spPr>
          </c:marker>
          <c:dPt>
            <c:idx val="0"/>
            <c:spPr>
              <a:noFill/>
              <a:ln w="3175">
                <a:noFill/>
              </a:ln>
            </c:spPr>
            <c:marker>
              <c:size val="6"/>
              <c:spPr>
                <a:solidFill>
                  <a:srgbClr val="000000"/>
                </a:solidFill>
                <a:ln>
                  <a:solidFill>
                    <a:srgbClr val="000000"/>
                  </a:solidFill>
                </a:ln>
              </c:spPr>
            </c:marker>
          </c:dPt>
          <c:dLbls>
            <c:dLbl>
              <c:idx val="0"/>
              <c:txPr>
                <a:bodyPr vert="horz" rot="0" anchor="ctr"/>
                <a:lstStyle/>
                <a:p>
                  <a:pPr algn="ctr">
                    <a:defRPr lang="en-US" cap="none" sz="600" b="0" i="0" u="none" baseline="0"/>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0"/>
            <c:showBubbleSize val="0"/>
            <c:showCatName val="0"/>
            <c:showSerName val="0"/>
            <c:showPercent val="0"/>
          </c:dLbls>
          <c:xVal>
            <c:numRef>
              <c:f>Calibrations!$B$26:$B$44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Calibrations!$C$26:$C$44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axId val="21874516"/>
        <c:axId val="62652917"/>
      </c:scatterChart>
      <c:valAx>
        <c:axId val="21874516"/>
        <c:scaling>
          <c:orientation val="minMax"/>
        </c:scaling>
        <c:axPos val="b"/>
        <c:title>
          <c:tx>
            <c:rich>
              <a:bodyPr vert="horz" rot="0" anchor="ctr"/>
              <a:lstStyle/>
              <a:p>
                <a:pPr algn="ctr">
                  <a:defRPr/>
                </a:pPr>
                <a:r>
                  <a:rPr lang="en-US" cap="none" sz="900" b="0" i="0" u="none" baseline="0">
                    <a:solidFill>
                      <a:srgbClr val="000000"/>
                    </a:solidFill>
                  </a:rPr>
                  <a:t>Cm (on stick)</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12700">
            <a:solidFill>
              <a:srgbClr val="000000"/>
            </a:solidFill>
          </a:ln>
        </c:spPr>
        <c:txPr>
          <a:bodyPr vert="horz" rot="0"/>
          <a:lstStyle/>
          <a:p>
            <a:pPr>
              <a:defRPr lang="en-US" cap="none" sz="700" b="0" i="0" u="none" baseline="0">
                <a:solidFill>
                  <a:srgbClr val="000000"/>
                </a:solidFill>
              </a:defRPr>
            </a:pPr>
          </a:p>
        </c:txPr>
        <c:crossAx val="62652917"/>
        <c:crosses val="autoZero"/>
        <c:crossBetween val="midCat"/>
        <c:dispUnits/>
      </c:valAx>
      <c:valAx>
        <c:axId val="62652917"/>
        <c:scaling>
          <c:orientation val="minMax"/>
        </c:scaling>
        <c:axPos val="l"/>
        <c:title>
          <c:tx>
            <c:rich>
              <a:bodyPr vert="horz" rot="-5400000" anchor="ctr"/>
              <a:lstStyle/>
              <a:p>
                <a:pPr algn="ctr">
                  <a:defRPr/>
                </a:pPr>
                <a:r>
                  <a:rPr lang="en-US" cap="none" sz="900" b="0" i="0" u="none" baseline="0">
                    <a:solidFill>
                      <a:srgbClr val="000000"/>
                    </a:solidFill>
                  </a:rPr>
                  <a:t>Volume (liters)</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12700">
            <a:solidFill>
              <a:srgbClr val="000000"/>
            </a:solidFill>
          </a:ln>
        </c:spPr>
        <c:txPr>
          <a:bodyPr vert="horz" rot="0"/>
          <a:lstStyle/>
          <a:p>
            <a:pPr>
              <a:defRPr lang="en-US" cap="none" sz="700" b="0" i="0" u="none" baseline="0">
                <a:solidFill>
                  <a:srgbClr val="000000"/>
                </a:solidFill>
              </a:defRPr>
            </a:pPr>
          </a:p>
        </c:txPr>
        <c:crossAx val="21874516"/>
        <c:crosses val="autoZero"/>
        <c:crossBetween val="midCat"/>
        <c:dispUnits/>
      </c:valAx>
      <c:spPr>
        <a:solidFill>
          <a:srgbClr val="D9D9D9"/>
        </a:solidFill>
        <a:ln w="3175">
          <a:noFill/>
        </a:ln>
      </c:spPr>
    </c:plotArea>
    <c:plotVisOnly val="0"/>
    <c:dispBlanksAs val="gap"/>
    <c:showDLblsOverMax val="0"/>
  </c:chart>
  <c:spPr>
    <a:solidFill>
      <a:srgbClr val="FFFFFF"/>
    </a:solidFill>
    <a:ln w="3175">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Holding tank calibration</a:t>
            </a:r>
          </a:p>
        </c:rich>
      </c:tx>
      <c:layout/>
      <c:spPr>
        <a:noFill/>
        <a:ln>
          <a:noFill/>
        </a:ln>
      </c:spPr>
    </c:title>
    <c:plotArea>
      <c:layout/>
      <c:scatterChart>
        <c:scatterStyle val="lineMarker"/>
        <c:varyColors val="0"/>
        <c:ser>
          <c:idx val="0"/>
          <c:order val="0"/>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3366"/>
              </a:solidFill>
              <a:ln>
                <a:solidFill>
                  <a:srgbClr val="000000"/>
                </a:solidFill>
              </a:ln>
            </c:spPr>
          </c:marker>
          <c:dPt>
            <c:idx val="0"/>
            <c:spPr>
              <a:noFill/>
              <a:ln w="3175">
                <a:noFill/>
              </a:ln>
            </c:spPr>
            <c:marker>
              <c:size val="6"/>
              <c:spPr>
                <a:solidFill>
                  <a:srgbClr val="000000"/>
                </a:solidFill>
                <a:ln>
                  <a:solidFill>
                    <a:srgbClr val="000000"/>
                  </a:solidFill>
                </a:ln>
              </c:spPr>
            </c:marker>
          </c:dPt>
          <c:dLbls>
            <c:dLbl>
              <c:idx val="0"/>
              <c:txPr>
                <a:bodyPr vert="horz" rot="0" anchor="ctr"/>
                <a:lstStyle/>
                <a:p>
                  <a:pPr algn="ctr">
                    <a:defRPr lang="en-US" cap="none" sz="600" b="0" i="0" u="none" baseline="0"/>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600" b="0" i="0" u="none" baseline="0"/>
                </a:pPr>
              </a:p>
            </c:txPr>
            <c:showLegendKey val="0"/>
            <c:showVal val="0"/>
            <c:showBubbleSize val="0"/>
            <c:showCatName val="0"/>
            <c:showSerName val="0"/>
            <c:showPercent val="0"/>
          </c:dLbls>
          <c:xVal>
            <c:numRef>
              <c:f>Calibrations!$F$3:$F$14</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Calibrations!$G$3:$G$14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27005342"/>
        <c:axId val="41721487"/>
      </c:scatterChart>
      <c:valAx>
        <c:axId val="27005342"/>
        <c:scaling>
          <c:orientation val="minMax"/>
        </c:scaling>
        <c:axPos val="b"/>
        <c:title>
          <c:tx>
            <c:rich>
              <a:bodyPr vert="horz" rot="0" anchor="ctr"/>
              <a:lstStyle/>
              <a:p>
                <a:pPr algn="ctr">
                  <a:defRPr/>
                </a:pPr>
                <a:r>
                  <a:rPr lang="en-US" cap="none" sz="900" b="0" i="0" u="none" baseline="0">
                    <a:solidFill>
                      <a:srgbClr val="000000"/>
                    </a:solidFill>
                  </a:rPr>
                  <a:t>Sewage level (cm)</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12700">
            <a:solidFill>
              <a:srgbClr val="000000"/>
            </a:solidFill>
          </a:ln>
        </c:spPr>
        <c:txPr>
          <a:bodyPr vert="horz" rot="0"/>
          <a:lstStyle/>
          <a:p>
            <a:pPr>
              <a:defRPr lang="en-US" cap="none" sz="700" b="0" i="0" u="none" baseline="0">
                <a:solidFill>
                  <a:srgbClr val="000000"/>
                </a:solidFill>
              </a:defRPr>
            </a:pPr>
          </a:p>
        </c:txPr>
        <c:crossAx val="41721487"/>
        <c:crosses val="autoZero"/>
        <c:crossBetween val="midCat"/>
        <c:dispUnits/>
      </c:valAx>
      <c:valAx>
        <c:axId val="41721487"/>
        <c:scaling>
          <c:orientation val="minMax"/>
        </c:scaling>
        <c:axPos val="l"/>
        <c:title>
          <c:tx>
            <c:rich>
              <a:bodyPr vert="horz" rot="-5400000" anchor="ctr"/>
              <a:lstStyle/>
              <a:p>
                <a:pPr algn="ctr">
                  <a:defRPr/>
                </a:pPr>
                <a:r>
                  <a:rPr lang="en-US" cap="none" sz="900" b="0" i="0" u="none" baseline="0">
                    <a:solidFill>
                      <a:srgbClr val="000000"/>
                    </a:solidFill>
                  </a:rPr>
                  <a:t>Volume (l)</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12700">
            <a:solidFill>
              <a:srgbClr val="000000"/>
            </a:solidFill>
          </a:ln>
        </c:spPr>
        <c:txPr>
          <a:bodyPr vert="horz" rot="0"/>
          <a:lstStyle/>
          <a:p>
            <a:pPr>
              <a:defRPr lang="en-US" cap="none" sz="700" b="0" i="0" u="none" baseline="0">
                <a:solidFill>
                  <a:srgbClr val="000000"/>
                </a:solidFill>
              </a:defRPr>
            </a:pPr>
          </a:p>
        </c:txPr>
        <c:crossAx val="27005342"/>
        <c:crosses val="autoZero"/>
        <c:crossBetween val="midCat"/>
        <c:dispUnits/>
      </c:valAx>
      <c:spPr>
        <a:solidFill>
          <a:srgbClr val="D9D9D9"/>
        </a:solidFill>
        <a:ln w="3175">
          <a:noFill/>
        </a:ln>
      </c:spPr>
    </c:plotArea>
    <c:plotVisOnly val="0"/>
    <c:dispBlanksAs val="gap"/>
    <c:showDLblsOverMax val="0"/>
  </c:chart>
  <c:spPr>
    <a:solidFill>
      <a:srgbClr val="FFFFFF"/>
    </a:solidFill>
    <a:ln w="3175">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Water use time series</a:t>
            </a:r>
          </a:p>
        </c:rich>
      </c:tx>
      <c:layout/>
      <c:spPr>
        <a:noFill/>
        <a:ln>
          <a:noFill/>
        </a:ln>
      </c:spPr>
    </c:title>
    <c:plotArea>
      <c:layout/>
      <c:scatterChart>
        <c:scatterStyle val="lineMarker"/>
        <c:varyColors val="0"/>
        <c:ser>
          <c:idx val="0"/>
          <c:order val="0"/>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3366"/>
              </a:solidFill>
              <a:ln>
                <a:solidFill>
                  <a:srgbClr val="000000"/>
                </a:solidFill>
              </a:ln>
            </c:spPr>
          </c:marker>
          <c:dPt>
            <c:idx val="0"/>
            <c:spPr>
              <a:noFill/>
              <a:ln w="3175">
                <a:noFill/>
              </a:ln>
            </c:spPr>
            <c:marker>
              <c:size val="6"/>
              <c:spPr>
                <a:solidFill>
                  <a:srgbClr val="000000"/>
                </a:solidFill>
                <a:ln>
                  <a:solidFill>
                    <a:srgbClr val="000000"/>
                  </a:solidFill>
                </a:ln>
              </c:spPr>
            </c:marker>
          </c:dPt>
          <c:dLbls>
            <c:dLbl>
              <c:idx val="0"/>
              <c:txPr>
                <a:bodyPr vert="horz" rot="0" anchor="ctr"/>
                <a:lstStyle/>
                <a:p>
                  <a:pPr algn="ctr">
                    <a:defRPr lang="en-US" cap="none" sz="840" b="0" i="0" u="none" baseline="0"/>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840" b="0" i="0" u="none" baseline="0"/>
                </a:pPr>
              </a:p>
            </c:txPr>
            <c:showLegendKey val="0"/>
            <c:showVal val="0"/>
            <c:showBubbleSize val="0"/>
            <c:showCatName val="0"/>
            <c:showSerName val="0"/>
            <c:showPercent val="0"/>
          </c:dLbls>
          <c:xVal>
            <c:strRef>
              <c:f>Water!$A$11:$A$46</c:f>
              <c:strCache>
                <c:ptCount val="36"/>
                <c:pt idx="0">
                  <c:v>39560</c:v>
                </c:pt>
                <c:pt idx="1">
                  <c:v>39560</c:v>
                </c:pt>
                <c:pt idx="2">
                  <c:v>39561</c:v>
                </c:pt>
                <c:pt idx="3">
                  <c:v>39562</c:v>
                </c:pt>
                <c:pt idx="4">
                  <c:v>39562</c:v>
                </c:pt>
                <c:pt idx="5">
                  <c:v>39562</c:v>
                </c:pt>
                <c:pt idx="6">
                  <c:v>39563</c:v>
                </c:pt>
                <c:pt idx="7">
                  <c:v>39564</c:v>
                </c:pt>
                <c:pt idx="8">
                  <c:v>39565</c:v>
                </c:pt>
                <c:pt idx="9">
                  <c:v>39566</c:v>
                </c:pt>
                <c:pt idx="10">
                  <c:v>39567</c:v>
                </c:pt>
                <c:pt idx="11">
                  <c:v>39568</c:v>
                </c:pt>
                <c:pt idx="12">
                  <c:v>39568</c:v>
                </c:pt>
                <c:pt idx="13">
                  <c:v>39569</c:v>
                </c:pt>
                <c:pt idx="14">
                  <c:v>39570</c:v>
                </c:pt>
                <c:pt idx="15">
                  <c:v>39571</c:v>
                </c:pt>
                <c:pt idx="17">
                  <c:v>39579</c:v>
                </c:pt>
                <c:pt idx="18">
                  <c:v>39580</c:v>
                </c:pt>
                <c:pt idx="19">
                  <c:v>39581</c:v>
                </c:pt>
                <c:pt idx="20">
                  <c:v>39581</c:v>
                </c:pt>
                <c:pt idx="21">
                  <c:v>39582</c:v>
                </c:pt>
                <c:pt idx="22">
                  <c:v>39583</c:v>
                </c:pt>
                <c:pt idx="23">
                  <c:v>39584</c:v>
                </c:pt>
                <c:pt idx="24">
                  <c:v>39584</c:v>
                </c:pt>
                <c:pt idx="25">
                  <c:v>39584</c:v>
                </c:pt>
                <c:pt idx="26">
                  <c:v>39585</c:v>
                </c:pt>
                <c:pt idx="27">
                  <c:v>39586</c:v>
                </c:pt>
                <c:pt idx="28">
                  <c:v>39586</c:v>
                </c:pt>
                <c:pt idx="29">
                  <c:v>39587</c:v>
                </c:pt>
                <c:pt idx="30">
                  <c:v>39588</c:v>
                </c:pt>
                <c:pt idx="31">
                  <c:v>39588</c:v>
                </c:pt>
                <c:pt idx="32">
                  <c:v>39588</c:v>
                </c:pt>
                <c:pt idx="33">
                  <c:v>39589</c:v>
                </c:pt>
                <c:pt idx="34">
                  <c:v>39590</c:v>
                </c:pt>
                <c:pt idx="35">
                  <c:v>39591</c:v>
                </c:pt>
              </c:strCache>
            </c:strRef>
          </c:xVal>
          <c:yVal>
            <c:numRef>
              <c:f>Water!$M$11:$M$46</c:f>
              <c:numCache>
                <c:ptCount val="36"/>
                <c:pt idx="0">
                  <c:v>26.325000000000003</c:v>
                </c:pt>
                <c:pt idx="2">
                  <c:v>18.963116883116882</c:v>
                </c:pt>
                <c:pt idx="3">
                  <c:v>17.550000000000004</c:v>
                </c:pt>
                <c:pt idx="4">
                  <c:v>9.627428571428563</c:v>
                </c:pt>
                <c:pt idx="6">
                  <c:v>9.627428571428572</c:v>
                </c:pt>
                <c:pt idx="7">
                  <c:v>28.88228571428572</c:v>
                </c:pt>
                <c:pt idx="9">
                  <c:v>12.449261083743844</c:v>
                </c:pt>
                <c:pt idx="10">
                  <c:v>22.191322314049586</c:v>
                </c:pt>
                <c:pt idx="11">
                  <c:v>14.44114285714286</c:v>
                </c:pt>
                <c:pt idx="12">
                  <c:v>11.282142857142853</c:v>
                </c:pt>
                <c:pt idx="14">
                  <c:v>25.787755102040812</c:v>
                </c:pt>
                <c:pt idx="15">
                  <c:v>12.034285714285716</c:v>
                </c:pt>
                <c:pt idx="18">
                  <c:v>13.847671232876719</c:v>
                </c:pt>
                <c:pt idx="19">
                  <c:v>6.646153846153844</c:v>
                </c:pt>
                <c:pt idx="21">
                  <c:v>3.8731034482758733</c:v>
                </c:pt>
                <c:pt idx="22">
                  <c:v>13.885714285714284</c:v>
                </c:pt>
                <c:pt idx="23">
                  <c:v>15.042857142857136</c:v>
                </c:pt>
                <c:pt idx="24">
                  <c:v>66.18857142857142</c:v>
                </c:pt>
                <c:pt idx="26">
                  <c:v>4.80456273764259</c:v>
                </c:pt>
                <c:pt idx="27">
                  <c:v>10.987826086956511</c:v>
                </c:pt>
                <c:pt idx="29">
                  <c:v>18.609720176730487</c:v>
                </c:pt>
                <c:pt idx="30">
                  <c:v>15.961263157894734</c:v>
                </c:pt>
                <c:pt idx="31">
                  <c:v>36.10285714285718</c:v>
                </c:pt>
                <c:pt idx="33">
                  <c:v>13.223720930232556</c:v>
                </c:pt>
                <c:pt idx="34">
                  <c:v>15.210000000000004</c:v>
                </c:pt>
                <c:pt idx="35">
                  <c:v>16.379999999999995</c:v>
                </c:pt>
              </c:numCache>
            </c:numRef>
          </c:yVal>
          <c:smooth val="0"/>
        </c:ser>
        <c:axId val="39949064"/>
        <c:axId val="23997257"/>
      </c:scatterChart>
      <c:valAx>
        <c:axId val="39949064"/>
        <c:scaling>
          <c:orientation val="minMax"/>
        </c:scaling>
        <c:axPos val="b"/>
        <c:title>
          <c:tx>
            <c:rich>
              <a:bodyPr vert="horz" rot="0" anchor="ctr"/>
              <a:lstStyle/>
              <a:p>
                <a:pPr algn="ctr">
                  <a:defRPr/>
                </a:pPr>
                <a:r>
                  <a:rPr lang="en-US" cap="none" sz="900" b="0" i="0" u="none" baseline="0">
                    <a:solidFill>
                      <a:srgbClr val="000000"/>
                    </a:solidFill>
                  </a:rPr>
                  <a:t>Date</a:t>
                </a:r>
              </a:p>
            </c:rich>
          </c:tx>
          <c:layout/>
          <c:overlay val="0"/>
          <c:spPr>
            <a:noFill/>
            <a:ln>
              <a:noFill/>
            </a:ln>
          </c:spPr>
        </c:title>
        <c:majorGridlines>
          <c:spPr>
            <a:ln w="3175">
              <a:solidFill>
                <a:srgbClr val="000000"/>
              </a:solidFill>
            </a:ln>
          </c:spPr>
        </c:majorGridlines>
        <c:delete val="0"/>
        <c:numFmt formatCode="mm/dd/yy"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3997257"/>
        <c:crosses val="autoZero"/>
        <c:crossBetween val="midCat"/>
        <c:dispUnits/>
      </c:valAx>
      <c:valAx>
        <c:axId val="23997257"/>
        <c:scaling>
          <c:orientation val="minMax"/>
        </c:scaling>
        <c:axPos val="l"/>
        <c:title>
          <c:tx>
            <c:rich>
              <a:bodyPr vert="horz" rot="-5400000" anchor="ctr"/>
              <a:lstStyle/>
              <a:p>
                <a:pPr algn="ctr">
                  <a:defRPr/>
                </a:pPr>
                <a:r>
                  <a:rPr lang="en-US" cap="none" sz="900" b="0" i="0" u="none" baseline="0">
                    <a:solidFill>
                      <a:srgbClr val="000000"/>
                    </a:solidFill>
                  </a:rPr>
                  <a:t>usage (l/person/day)</a:t>
                </a:r>
              </a:p>
            </c:rich>
          </c:tx>
          <c:layout/>
          <c:overlay val="0"/>
          <c:spPr>
            <a:noFill/>
            <a:ln>
              <a:noFill/>
            </a:ln>
          </c:spPr>
        </c:title>
        <c:majorGridlines>
          <c:spPr>
            <a:ln w="3175">
              <a:solidFill>
                <a:srgbClr val="00000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9949064"/>
        <c:crosses val="autoZero"/>
        <c:crossBetween val="midCat"/>
        <c:dispUnits/>
      </c:valAx>
      <c:spPr>
        <a:solidFill>
          <a:srgbClr val="D9D9D9"/>
        </a:solidFill>
        <a:ln w="3175">
          <a:noFill/>
        </a:ln>
      </c:spPr>
    </c:plotArea>
    <c:plotVisOnly val="0"/>
    <c:dispBlanksAs val="gap"/>
    <c:showDLblsOverMax val="0"/>
  </c:chart>
  <c:spPr>
    <a:solidFill>
      <a:srgbClr val="FFFFFF"/>
    </a:solidFill>
    <a:ln w="3175">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60</xdr:row>
      <xdr:rowOff>152400</xdr:rowOff>
    </xdr:from>
    <xdr:to>
      <xdr:col>8</xdr:col>
      <xdr:colOff>104775</xdr:colOff>
      <xdr:row>105</xdr:row>
      <xdr:rowOff>180975</xdr:rowOff>
    </xdr:to>
    <xdr:graphicFrame>
      <xdr:nvGraphicFramePr>
        <xdr:cNvPr id="1" name="Chart 1"/>
        <xdr:cNvGraphicFramePr/>
      </xdr:nvGraphicFramePr>
      <xdr:xfrm>
        <a:off x="466725" y="11334750"/>
        <a:ext cx="3990975" cy="8601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26</xdr:row>
      <xdr:rowOff>95250</xdr:rowOff>
    </xdr:from>
    <xdr:to>
      <xdr:col>9</xdr:col>
      <xdr:colOff>104775</xdr:colOff>
      <xdr:row>40</xdr:row>
      <xdr:rowOff>123825</xdr:rowOff>
    </xdr:to>
    <xdr:graphicFrame>
      <xdr:nvGraphicFramePr>
        <xdr:cNvPr id="1" name="Chart 1"/>
        <xdr:cNvGraphicFramePr/>
      </xdr:nvGraphicFramePr>
      <xdr:xfrm>
        <a:off x="3790950" y="4600575"/>
        <a:ext cx="2562225" cy="2428875"/>
      </xdr:xfrm>
      <a:graphic>
        <a:graphicData uri="http://schemas.openxmlformats.org/drawingml/2006/chart">
          <c:chart xmlns:c="http://schemas.openxmlformats.org/drawingml/2006/chart" r:id="rId1"/>
        </a:graphicData>
      </a:graphic>
    </xdr:graphicFrame>
    <xdr:clientData/>
  </xdr:twoCellAnchor>
  <xdr:twoCellAnchor>
    <xdr:from>
      <xdr:col>8</xdr:col>
      <xdr:colOff>133350</xdr:colOff>
      <xdr:row>1</xdr:row>
      <xdr:rowOff>85725</xdr:rowOff>
    </xdr:from>
    <xdr:to>
      <xdr:col>12</xdr:col>
      <xdr:colOff>371475</xdr:colOff>
      <xdr:row>15</xdr:row>
      <xdr:rowOff>123825</xdr:rowOff>
    </xdr:to>
    <xdr:graphicFrame>
      <xdr:nvGraphicFramePr>
        <xdr:cNvPr id="2" name="Chart 2"/>
        <xdr:cNvGraphicFramePr/>
      </xdr:nvGraphicFramePr>
      <xdr:xfrm>
        <a:off x="5800725" y="257175"/>
        <a:ext cx="2562225" cy="24384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561975</xdr:colOff>
      <xdr:row>20</xdr:row>
      <xdr:rowOff>161925</xdr:rowOff>
    </xdr:to>
    <xdr:graphicFrame>
      <xdr:nvGraphicFramePr>
        <xdr:cNvPr id="1" name="Chart 1"/>
        <xdr:cNvGraphicFramePr/>
      </xdr:nvGraphicFramePr>
      <xdr:xfrm>
        <a:off x="723900" y="190500"/>
        <a:ext cx="3457575" cy="3781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P59"/>
  <sheetViews>
    <sheetView workbookViewId="0" topLeftCell="A1">
      <pane ySplit="8" topLeftCell="BM39" activePane="bottomLeft" state="frozen"/>
      <selection pane="topLeft" activeCell="A1" sqref="A1"/>
      <selection pane="bottomLeft" activeCell="A58" sqref="A58"/>
    </sheetView>
  </sheetViews>
  <sheetFormatPr defaultColWidth="9.140625" defaultRowHeight="15"/>
  <cols>
    <col min="1" max="1" width="13.00390625" style="0" customWidth="1"/>
    <col min="2" max="3" width="6.421875" style="0" customWidth="1"/>
    <col min="4" max="4" width="7.28125" style="0" customWidth="1"/>
    <col min="5" max="5" width="7.57421875" style="0" customWidth="1"/>
    <col min="6" max="6" width="8.421875" style="0" customWidth="1"/>
    <col min="7" max="7" width="7.57421875" style="0" customWidth="1"/>
    <col min="8" max="8" width="8.57421875" style="0" customWidth="1"/>
    <col min="9" max="9" width="9.7109375" style="0" customWidth="1"/>
    <col min="10" max="10" width="6.7109375" style="0" customWidth="1"/>
    <col min="11" max="11" width="7.28125" style="0" customWidth="1"/>
    <col min="12" max="12" width="7.8515625" style="0" customWidth="1"/>
    <col min="13" max="14" width="9.28125" style="0" customWidth="1"/>
    <col min="15" max="15" width="21.8515625" style="0" customWidth="1"/>
    <col min="16" max="16384" width="11.8515625" style="0" customWidth="1"/>
  </cols>
  <sheetData>
    <row r="1" spans="1:16" ht="13.5">
      <c r="A1" s="1" t="s">
        <v>0</v>
      </c>
      <c r="B1" s="1"/>
      <c r="C1" s="1"/>
      <c r="D1" s="2"/>
      <c r="L1" s="3" t="s">
        <v>1</v>
      </c>
      <c r="M1" s="4"/>
      <c r="N1" s="4"/>
      <c r="O1" s="4"/>
      <c r="P1" s="4"/>
    </row>
    <row r="2" spans="4:16" ht="13.5">
      <c r="D2" s="5"/>
      <c r="F2" s="6" t="s">
        <v>2</v>
      </c>
      <c r="L2" s="4" t="s">
        <v>3</v>
      </c>
      <c r="M2" s="4"/>
      <c r="N2" s="4"/>
      <c r="O2" s="4"/>
      <c r="P2" s="4"/>
    </row>
    <row r="3" spans="1:16" ht="41.25">
      <c r="A3" s="7" t="s">
        <v>4</v>
      </c>
      <c r="B3" s="8" t="s">
        <v>5</v>
      </c>
      <c r="C3" s="8" t="s">
        <v>6</v>
      </c>
      <c r="D3" s="9" t="s">
        <v>7</v>
      </c>
      <c r="E3" s="10"/>
      <c r="F3" s="11" t="s">
        <v>8</v>
      </c>
      <c r="G3" s="11" t="s">
        <v>9</v>
      </c>
      <c r="H3" s="12" t="s">
        <v>10</v>
      </c>
      <c r="I3" s="12" t="s">
        <v>11</v>
      </c>
      <c r="K3" s="13"/>
      <c r="L3" s="4" t="s">
        <v>12</v>
      </c>
      <c r="M3" s="4"/>
      <c r="N3" s="4"/>
      <c r="O3" s="4"/>
      <c r="P3" s="4"/>
    </row>
    <row r="4" spans="1:16" ht="13.5">
      <c r="A4" s="14"/>
      <c r="B4" s="15">
        <v>3.785</v>
      </c>
      <c r="C4" s="16">
        <v>10.53</v>
      </c>
      <c r="D4">
        <v>-50</v>
      </c>
      <c r="E4" s="10"/>
      <c r="F4" s="17">
        <v>234.3</v>
      </c>
      <c r="G4" s="18">
        <v>31.6</v>
      </c>
      <c r="H4" s="19">
        <v>8</v>
      </c>
      <c r="I4" s="20">
        <f>F4/G4/H4</f>
        <v>0.9268196202531646</v>
      </c>
      <c r="J4" s="20"/>
      <c r="K4" s="20"/>
      <c r="L4" s="4" t="s">
        <v>13</v>
      </c>
      <c r="M4" s="4"/>
      <c r="N4" s="4"/>
      <c r="O4" s="4"/>
      <c r="P4" s="4"/>
    </row>
    <row r="5" spans="2:16" ht="13.5">
      <c r="B5" s="21"/>
      <c r="C5" s="21"/>
      <c r="D5" s="22"/>
      <c r="E5" s="23"/>
      <c r="F5" s="24"/>
      <c r="G5" s="25"/>
      <c r="H5" s="20"/>
      <c r="I5" s="20"/>
      <c r="J5" s="20"/>
      <c r="K5" s="20"/>
      <c r="L5" s="4" t="s">
        <v>14</v>
      </c>
      <c r="M5" s="4"/>
      <c r="N5" s="4"/>
      <c r="O5" s="4"/>
      <c r="P5" s="4"/>
    </row>
    <row r="6" spans="1:6" ht="13.5">
      <c r="A6" t="s">
        <v>15</v>
      </c>
      <c r="B6" s="21">
        <f>Calibrations!B47</f>
        <v>630.9594999999999</v>
      </c>
      <c r="C6" s="21"/>
      <c r="D6" s="20" t="s">
        <v>16</v>
      </c>
      <c r="E6" s="26"/>
      <c r="F6" s="26"/>
    </row>
    <row r="7" spans="1:15" s="31" customFormat="1" ht="41.25">
      <c r="A7" s="27" t="s">
        <v>17</v>
      </c>
      <c r="B7" s="27" t="s">
        <v>18</v>
      </c>
      <c r="C7" s="27" t="s">
        <v>18</v>
      </c>
      <c r="D7" s="28" t="s">
        <v>19</v>
      </c>
      <c r="E7" s="29" t="s">
        <v>20</v>
      </c>
      <c r="F7" s="29" t="s">
        <v>21</v>
      </c>
      <c r="G7" s="29" t="s">
        <v>22</v>
      </c>
      <c r="H7" s="29" t="s">
        <v>22</v>
      </c>
      <c r="I7" s="30" t="s">
        <v>23</v>
      </c>
      <c r="J7" s="29" t="s">
        <v>24</v>
      </c>
      <c r="K7" s="29" t="s">
        <v>24</v>
      </c>
      <c r="L7" s="30" t="s">
        <v>25</v>
      </c>
      <c r="M7" s="29" t="s">
        <v>26</v>
      </c>
      <c r="N7" s="29" t="s">
        <v>26</v>
      </c>
      <c r="O7" s="31" t="s">
        <v>27</v>
      </c>
    </row>
    <row r="8" spans="1:14" s="31" customFormat="1" ht="27">
      <c r="A8" s="27"/>
      <c r="B8" s="32" t="s">
        <v>28</v>
      </c>
      <c r="C8" s="32" t="s">
        <v>29</v>
      </c>
      <c r="D8" s="28" t="s">
        <v>30</v>
      </c>
      <c r="E8" s="31" t="s">
        <v>31</v>
      </c>
      <c r="F8" s="31" t="s">
        <v>32</v>
      </c>
      <c r="G8" s="31" t="s">
        <v>31</v>
      </c>
      <c r="H8" s="31" t="s">
        <v>32</v>
      </c>
      <c r="I8" s="28" t="s">
        <v>33</v>
      </c>
      <c r="J8" s="31" t="s">
        <v>34</v>
      </c>
      <c r="K8" s="31" t="s">
        <v>35</v>
      </c>
      <c r="L8" s="28"/>
      <c r="M8" s="29" t="s">
        <v>36</v>
      </c>
      <c r="N8" s="29" t="s">
        <v>37</v>
      </c>
    </row>
    <row r="9" spans="1:12" s="31" customFormat="1" ht="13.5">
      <c r="A9" s="27" t="s">
        <v>38</v>
      </c>
      <c r="B9" s="32"/>
      <c r="C9" s="32"/>
      <c r="D9" s="28"/>
      <c r="I9" s="28"/>
      <c r="L9" s="28"/>
    </row>
    <row r="10" spans="1:14" ht="13.5">
      <c r="A10" s="33">
        <v>39559</v>
      </c>
      <c r="B10" s="34">
        <v>8</v>
      </c>
      <c r="C10" s="34">
        <v>45</v>
      </c>
      <c r="D10" s="35">
        <v>68</v>
      </c>
      <c r="E10" s="36">
        <f aca="true" t="shared" si="0" ref="E10:E26">D10*$C$4+$D$4</f>
        <v>666.04</v>
      </c>
      <c r="F10" s="36">
        <f aca="true" t="shared" si="1" ref="F10:F26">E10/$B$4</f>
        <v>175.9682959048877</v>
      </c>
      <c r="G10" s="36"/>
      <c r="H10" s="36"/>
      <c r="I10" s="37"/>
      <c r="J10" s="36"/>
      <c r="K10" s="36"/>
      <c r="L10" s="35"/>
      <c r="M10" s="38"/>
      <c r="N10" s="38"/>
    </row>
    <row r="11" spans="1:14" ht="13.5">
      <c r="A11" s="33">
        <v>39560</v>
      </c>
      <c r="B11" s="34">
        <v>8</v>
      </c>
      <c r="C11" s="34">
        <v>51</v>
      </c>
      <c r="D11" s="35">
        <v>45.5</v>
      </c>
      <c r="E11" s="36">
        <f t="shared" si="0"/>
        <v>429.11499999999995</v>
      </c>
      <c r="F11" s="36">
        <f t="shared" si="1"/>
        <v>113.37252311756933</v>
      </c>
      <c r="G11" s="36">
        <f>E10-E11</f>
        <v>236.925</v>
      </c>
      <c r="H11" s="36">
        <f>G11/$B$4</f>
        <v>62.59577278731836</v>
      </c>
      <c r="I11" s="37">
        <v>24</v>
      </c>
      <c r="J11" s="36">
        <f>(G11/I11)*24</f>
        <v>236.925</v>
      </c>
      <c r="K11" s="36">
        <f>J11/$B$4</f>
        <v>62.59577278731836</v>
      </c>
      <c r="L11" s="35">
        <v>9</v>
      </c>
      <c r="M11" s="36">
        <f>J11/L11</f>
        <v>26.325000000000003</v>
      </c>
      <c r="N11" s="36">
        <f>M11/$B$4</f>
        <v>6.955085865257597</v>
      </c>
    </row>
    <row r="12" spans="1:15" ht="13.5">
      <c r="A12" s="33">
        <v>39560</v>
      </c>
      <c r="B12" s="34">
        <v>13</v>
      </c>
      <c r="C12" s="34">
        <v>30</v>
      </c>
      <c r="D12" s="35">
        <v>63</v>
      </c>
      <c r="E12" s="36">
        <f t="shared" si="0"/>
        <v>613.39</v>
      </c>
      <c r="F12" s="36">
        <f t="shared" si="1"/>
        <v>162.05812417437252</v>
      </c>
      <c r="G12" s="36"/>
      <c r="H12" s="36"/>
      <c r="I12" s="37"/>
      <c r="J12" s="36"/>
      <c r="K12" s="36"/>
      <c r="L12" s="35"/>
      <c r="M12" s="36"/>
      <c r="N12" s="36"/>
      <c r="O12" t="s">
        <v>39</v>
      </c>
    </row>
    <row r="13" spans="1:14" ht="13.5">
      <c r="A13" s="33">
        <v>39561</v>
      </c>
      <c r="B13" s="34">
        <v>8</v>
      </c>
      <c r="C13" s="34">
        <v>45</v>
      </c>
      <c r="D13" s="35">
        <v>50</v>
      </c>
      <c r="E13" s="36">
        <f t="shared" si="0"/>
        <v>476.5</v>
      </c>
      <c r="F13" s="36">
        <f t="shared" si="1"/>
        <v>125.89167767503302</v>
      </c>
      <c r="G13" s="36">
        <f>E12-E13</f>
        <v>136.89</v>
      </c>
      <c r="H13" s="36">
        <f>G13/$B$4</f>
        <v>36.16644649933949</v>
      </c>
      <c r="I13" s="37">
        <v>19.25</v>
      </c>
      <c r="J13" s="36">
        <f>(G13/I13)*24</f>
        <v>170.66805194805193</v>
      </c>
      <c r="K13" s="36">
        <f>J13/$B$4</f>
        <v>45.09063459657911</v>
      </c>
      <c r="L13" s="35">
        <v>9</v>
      </c>
      <c r="M13" s="36">
        <f>J13/L13</f>
        <v>18.963116883116882</v>
      </c>
      <c r="N13" s="36">
        <f>M13/$B$4</f>
        <v>5.010070510731012</v>
      </c>
    </row>
    <row r="14" spans="1:14" ht="13.5">
      <c r="A14" s="33">
        <v>39562</v>
      </c>
      <c r="B14" s="34">
        <v>8</v>
      </c>
      <c r="C14" s="34">
        <v>45</v>
      </c>
      <c r="D14" s="35">
        <v>35</v>
      </c>
      <c r="E14" s="36">
        <f t="shared" si="0"/>
        <v>318.54999999999995</v>
      </c>
      <c r="F14" s="36">
        <f t="shared" si="1"/>
        <v>84.16116248348743</v>
      </c>
      <c r="G14" s="36">
        <f>E13-E14</f>
        <v>157.95000000000005</v>
      </c>
      <c r="H14" s="36">
        <f>G14/$B$4</f>
        <v>41.730515191545585</v>
      </c>
      <c r="I14" s="37">
        <v>24</v>
      </c>
      <c r="J14" s="36">
        <f>(G14/I14)*24</f>
        <v>157.95000000000005</v>
      </c>
      <c r="K14" s="36">
        <f>J14/$B$4</f>
        <v>41.730515191545585</v>
      </c>
      <c r="L14" s="35">
        <v>9</v>
      </c>
      <c r="M14" s="36">
        <f>J14/L14</f>
        <v>17.550000000000004</v>
      </c>
      <c r="N14" s="36">
        <f>M14/$B$4</f>
        <v>4.636723910171732</v>
      </c>
    </row>
    <row r="15" spans="1:14" ht="13.5">
      <c r="A15" s="33">
        <v>39562</v>
      </c>
      <c r="B15" s="34">
        <v>17</v>
      </c>
      <c r="C15" s="34">
        <v>30</v>
      </c>
      <c r="D15" s="35">
        <v>32</v>
      </c>
      <c r="E15" s="36">
        <f t="shared" si="0"/>
        <v>286.96</v>
      </c>
      <c r="F15" s="36">
        <f t="shared" si="1"/>
        <v>75.81505944517832</v>
      </c>
      <c r="G15" s="36">
        <f>E14-E15</f>
        <v>31.589999999999975</v>
      </c>
      <c r="H15" s="36">
        <f>G15/$B$4</f>
        <v>8.346103038309108</v>
      </c>
      <c r="I15" s="37">
        <f>(B15+C15/60)-(B14+C14/60)</f>
        <v>8.75</v>
      </c>
      <c r="J15" s="36">
        <f>(G15/I15)*24</f>
        <v>86.64685714285707</v>
      </c>
      <c r="K15" s="36">
        <f>J15/$B$4</f>
        <v>22.892168333647838</v>
      </c>
      <c r="L15" s="35">
        <v>9</v>
      </c>
      <c r="M15" s="36">
        <f>J15/L15</f>
        <v>9.627428571428563</v>
      </c>
      <c r="N15" s="36">
        <f>M15/$B$4</f>
        <v>2.5435742592942043</v>
      </c>
    </row>
    <row r="16" spans="1:15" ht="13.5">
      <c r="A16" s="33">
        <v>39562</v>
      </c>
      <c r="B16" s="34">
        <v>17</v>
      </c>
      <c r="C16" s="34">
        <v>30</v>
      </c>
      <c r="D16" s="35">
        <v>63</v>
      </c>
      <c r="E16" s="36">
        <f t="shared" si="0"/>
        <v>613.39</v>
      </c>
      <c r="F16" s="36">
        <f t="shared" si="1"/>
        <v>162.05812417437252</v>
      </c>
      <c r="G16" s="36"/>
      <c r="H16" s="36"/>
      <c r="I16" s="37"/>
      <c r="J16" s="36"/>
      <c r="K16" s="36"/>
      <c r="L16" s="35">
        <v>9</v>
      </c>
      <c r="M16" s="36"/>
      <c r="N16" s="36"/>
      <c r="O16" t="s">
        <v>39</v>
      </c>
    </row>
    <row r="17" spans="1:14" ht="13.5">
      <c r="A17" s="33">
        <v>39563</v>
      </c>
      <c r="B17" s="34">
        <v>8</v>
      </c>
      <c r="C17" s="34">
        <v>30</v>
      </c>
      <c r="D17" s="35">
        <v>59</v>
      </c>
      <c r="E17" s="36">
        <f t="shared" si="0"/>
        <v>571.27</v>
      </c>
      <c r="F17" s="36">
        <f t="shared" si="1"/>
        <v>150.92998678996037</v>
      </c>
      <c r="G17" s="36">
        <f>E16-E17</f>
        <v>42.120000000000005</v>
      </c>
      <c r="H17" s="36">
        <f>G17/$B$4</f>
        <v>11.128137384412154</v>
      </c>
      <c r="I17" s="37">
        <v>15</v>
      </c>
      <c r="J17" s="36">
        <f>(G17/I17)*24</f>
        <v>67.39200000000001</v>
      </c>
      <c r="K17" s="36">
        <f>J17/$B$4</f>
        <v>17.805019815059445</v>
      </c>
      <c r="L17" s="35">
        <v>7</v>
      </c>
      <c r="M17" s="36">
        <f>J17/L17</f>
        <v>9.627428571428572</v>
      </c>
      <c r="N17" s="36">
        <f>M17/$B$4</f>
        <v>2.5435742592942066</v>
      </c>
    </row>
    <row r="18" spans="1:14" ht="13.5">
      <c r="A18" s="33">
        <v>39564</v>
      </c>
      <c r="B18" s="34">
        <v>9</v>
      </c>
      <c r="C18" s="34">
        <v>30</v>
      </c>
      <c r="D18" s="35">
        <v>39</v>
      </c>
      <c r="E18" s="36">
        <f t="shared" si="0"/>
        <v>360.66999999999996</v>
      </c>
      <c r="F18" s="36">
        <f t="shared" si="1"/>
        <v>95.28929986789959</v>
      </c>
      <c r="G18" s="36">
        <f>E17-E18</f>
        <v>210.60000000000002</v>
      </c>
      <c r="H18" s="36">
        <f>G18/$B$4</f>
        <v>55.64068692206077</v>
      </c>
      <c r="I18" s="37">
        <v>25</v>
      </c>
      <c r="J18" s="36">
        <f>(G18/I18)*24</f>
        <v>202.17600000000004</v>
      </c>
      <c r="K18" s="36">
        <f>J18/$B$4</f>
        <v>53.41505944517834</v>
      </c>
      <c r="L18" s="35">
        <v>7</v>
      </c>
      <c r="M18" s="36">
        <f>J18/L18</f>
        <v>28.88228571428572</v>
      </c>
      <c r="N18" s="36">
        <f>M18/$B$4</f>
        <v>7.630722777882621</v>
      </c>
    </row>
    <row r="19" spans="1:15" ht="13.5">
      <c r="A19" s="33">
        <v>39565</v>
      </c>
      <c r="B19" s="39">
        <v>8</v>
      </c>
      <c r="C19" s="34">
        <v>30</v>
      </c>
      <c r="D19" s="40">
        <v>63</v>
      </c>
      <c r="E19" s="36">
        <f t="shared" si="0"/>
        <v>613.39</v>
      </c>
      <c r="F19" s="36">
        <f t="shared" si="1"/>
        <v>162.05812417437252</v>
      </c>
      <c r="G19" s="36"/>
      <c r="H19" s="36"/>
      <c r="I19" s="37">
        <v>23</v>
      </c>
      <c r="J19" s="36"/>
      <c r="K19" s="36"/>
      <c r="L19" s="35">
        <v>7</v>
      </c>
      <c r="M19" s="36"/>
      <c r="N19" s="36"/>
      <c r="O19" t="s">
        <v>40</v>
      </c>
    </row>
    <row r="20" spans="1:14" ht="13.5">
      <c r="A20" s="33">
        <v>39566</v>
      </c>
      <c r="B20" s="40">
        <v>7</v>
      </c>
      <c r="C20" s="40">
        <v>40</v>
      </c>
      <c r="D20" s="40">
        <v>55</v>
      </c>
      <c r="E20" s="36">
        <f t="shared" si="0"/>
        <v>529.15</v>
      </c>
      <c r="F20" s="36">
        <f t="shared" si="1"/>
        <v>139.8018494055482</v>
      </c>
      <c r="G20" s="36">
        <f>E19-E20</f>
        <v>84.24000000000001</v>
      </c>
      <c r="H20" s="36">
        <f>G20/$B$4</f>
        <v>22.25627476882431</v>
      </c>
      <c r="I20" s="40">
        <v>23.2</v>
      </c>
      <c r="J20" s="36">
        <f>(G20/I20)*24</f>
        <v>87.1448275862069</v>
      </c>
      <c r="K20" s="36">
        <f>J20/$B$4</f>
        <v>23.02373251947342</v>
      </c>
      <c r="L20" s="40">
        <v>7</v>
      </c>
      <c r="M20" s="36">
        <f>J20/L20</f>
        <v>12.449261083743844</v>
      </c>
      <c r="N20" s="36">
        <f>M20/$B$4</f>
        <v>3.2891046456390605</v>
      </c>
    </row>
    <row r="21" spans="1:14" ht="13.5">
      <c r="A21" s="33">
        <v>39567</v>
      </c>
      <c r="B21" s="40">
        <v>8</v>
      </c>
      <c r="C21" s="40">
        <v>45</v>
      </c>
      <c r="D21" s="40">
        <v>38</v>
      </c>
      <c r="E21" s="36">
        <f t="shared" si="0"/>
        <v>350.14</v>
      </c>
      <c r="F21" s="36">
        <f t="shared" si="1"/>
        <v>92.50726552179655</v>
      </c>
      <c r="G21" s="36">
        <f>E20-E21</f>
        <v>179.01</v>
      </c>
      <c r="H21" s="36">
        <f>G21/$B$4</f>
        <v>47.29458388375165</v>
      </c>
      <c r="I21" s="40">
        <v>24.2</v>
      </c>
      <c r="J21" s="36">
        <f>(G21/I21)*24</f>
        <v>177.5305785123967</v>
      </c>
      <c r="K21" s="36">
        <f>J21/$B$4</f>
        <v>46.903719554133865</v>
      </c>
      <c r="L21" s="40">
        <v>8</v>
      </c>
      <c r="M21" s="36">
        <f>J21/L21</f>
        <v>22.191322314049586</v>
      </c>
      <c r="N21" s="36">
        <f>M21/$B$4</f>
        <v>5.862964944266733</v>
      </c>
    </row>
    <row r="22" spans="1:14" ht="13.5">
      <c r="A22" s="33">
        <v>39568</v>
      </c>
      <c r="B22" s="40">
        <v>9</v>
      </c>
      <c r="C22" s="40">
        <v>12</v>
      </c>
      <c r="D22" s="40">
        <v>28.5</v>
      </c>
      <c r="E22" s="36">
        <f t="shared" si="0"/>
        <v>250.10499999999996</v>
      </c>
      <c r="F22" s="36">
        <f t="shared" si="1"/>
        <v>66.07793923381769</v>
      </c>
      <c r="G22" s="36">
        <f>E21-E22</f>
        <v>100.03500000000003</v>
      </c>
      <c r="H22" s="36">
        <f>G22/$B$4</f>
        <v>26.42932628797887</v>
      </c>
      <c r="I22" s="40">
        <v>23.75</v>
      </c>
      <c r="J22" s="36">
        <f>(G22/I22)*24</f>
        <v>101.08800000000002</v>
      </c>
      <c r="K22" s="36">
        <f>J22/$B$4</f>
        <v>26.70752972258917</v>
      </c>
      <c r="L22" s="40">
        <v>7</v>
      </c>
      <c r="M22" s="36">
        <f>J22/L22</f>
        <v>14.44114285714286</v>
      </c>
      <c r="N22" s="36">
        <f>M22/$B$4</f>
        <v>3.8153613889413105</v>
      </c>
    </row>
    <row r="23" spans="1:15" ht="13.5">
      <c r="A23" s="33">
        <v>39568</v>
      </c>
      <c r="B23" s="40">
        <v>16</v>
      </c>
      <c r="C23" s="40">
        <v>0</v>
      </c>
      <c r="D23" s="40">
        <v>26</v>
      </c>
      <c r="E23" s="36">
        <f t="shared" si="0"/>
        <v>223.77999999999997</v>
      </c>
      <c r="F23" s="36">
        <f t="shared" si="1"/>
        <v>59.122853368560094</v>
      </c>
      <c r="G23" s="36">
        <f>E22-E23</f>
        <v>26.32499999999999</v>
      </c>
      <c r="H23" s="36">
        <f>G23/$B$4</f>
        <v>6.955085865257592</v>
      </c>
      <c r="I23" s="40">
        <v>8</v>
      </c>
      <c r="J23" s="36">
        <f>(G23/I23)*24</f>
        <v>78.97499999999997</v>
      </c>
      <c r="K23" s="36">
        <f>J23/$B$4</f>
        <v>20.86525759577278</v>
      </c>
      <c r="L23" s="40">
        <v>7</v>
      </c>
      <c r="M23" s="36">
        <f>J23/L23</f>
        <v>11.282142857142853</v>
      </c>
      <c r="N23" s="36">
        <f>M23/$B$4</f>
        <v>2.980751085110397</v>
      </c>
      <c r="O23" t="s">
        <v>41</v>
      </c>
    </row>
    <row r="24" spans="1:15" ht="13.5">
      <c r="A24" s="33">
        <v>39569</v>
      </c>
      <c r="B24" s="40">
        <v>7</v>
      </c>
      <c r="C24" s="40">
        <v>30</v>
      </c>
      <c r="D24" s="40">
        <v>60</v>
      </c>
      <c r="E24" s="36">
        <f t="shared" si="0"/>
        <v>581.8</v>
      </c>
      <c r="F24" s="36">
        <f t="shared" si="1"/>
        <v>153.71202113606338</v>
      </c>
      <c r="H24" s="38"/>
      <c r="I24" s="40">
        <v>22.75</v>
      </c>
      <c r="K24" s="38"/>
      <c r="L24" s="41">
        <v>8</v>
      </c>
      <c r="M24" s="38"/>
      <c r="N24" s="38"/>
      <c r="O24" t="s">
        <v>39</v>
      </c>
    </row>
    <row r="25" spans="1:14" ht="13.5">
      <c r="A25" s="33">
        <v>39570</v>
      </c>
      <c r="B25" s="40">
        <v>8</v>
      </c>
      <c r="C25" s="40">
        <v>7</v>
      </c>
      <c r="D25" s="40">
        <v>40</v>
      </c>
      <c r="E25" s="36">
        <f t="shared" si="0"/>
        <v>371.2</v>
      </c>
      <c r="F25" s="36">
        <f t="shared" si="1"/>
        <v>98.07133421400263</v>
      </c>
      <c r="G25" s="36">
        <f>E24-E25</f>
        <v>210.59999999999997</v>
      </c>
      <c r="H25" s="36">
        <f>G25/$B$4</f>
        <v>55.64068692206075</v>
      </c>
      <c r="I25" s="40">
        <v>24.5</v>
      </c>
      <c r="J25" s="36">
        <f>(G25/I25)*24</f>
        <v>206.3020408163265</v>
      </c>
      <c r="K25" s="36">
        <f>J25/$B$4</f>
        <v>54.50516269916156</v>
      </c>
      <c r="L25" s="40">
        <v>8</v>
      </c>
      <c r="M25" s="36">
        <f>J25/L25</f>
        <v>25.787755102040812</v>
      </c>
      <c r="N25" s="36">
        <f>M25/$B$4</f>
        <v>6.813145337395195</v>
      </c>
    </row>
    <row r="26" spans="1:14" ht="13.5">
      <c r="A26" s="33">
        <v>39571</v>
      </c>
      <c r="B26" s="40">
        <v>8</v>
      </c>
      <c r="C26" s="40">
        <v>45</v>
      </c>
      <c r="D26" s="40">
        <v>32</v>
      </c>
      <c r="E26" s="36">
        <f t="shared" si="0"/>
        <v>286.96</v>
      </c>
      <c r="F26" s="36">
        <f t="shared" si="1"/>
        <v>75.81505944517832</v>
      </c>
      <c r="G26" s="36">
        <f>E25-E26</f>
        <v>84.24000000000001</v>
      </c>
      <c r="H26" s="36">
        <f>G26/$B$4</f>
        <v>22.25627476882431</v>
      </c>
      <c r="I26" s="40">
        <v>24</v>
      </c>
      <c r="J26" s="36">
        <f>(G26/I26)*24</f>
        <v>84.24000000000001</v>
      </c>
      <c r="K26" s="36">
        <f>J26/$B$4</f>
        <v>22.25627476882431</v>
      </c>
      <c r="L26" s="40">
        <v>7</v>
      </c>
      <c r="M26" s="36">
        <f>J26/L26</f>
        <v>12.034285714285716</v>
      </c>
      <c r="N26" s="36">
        <f>M26/$B$4</f>
        <v>3.1794678241177583</v>
      </c>
    </row>
    <row r="27" spans="1:12" ht="13.5">
      <c r="A27" s="33"/>
      <c r="B27" s="40"/>
      <c r="C27" s="40"/>
      <c r="D27" s="40"/>
      <c r="E27" s="36"/>
      <c r="F27" s="36"/>
      <c r="G27" s="42"/>
      <c r="H27" s="42"/>
      <c r="I27" s="40"/>
      <c r="L27" s="40"/>
    </row>
    <row r="28" spans="1:15" ht="13.5">
      <c r="A28" s="33">
        <v>39579</v>
      </c>
      <c r="B28" s="40">
        <v>14</v>
      </c>
      <c r="C28" s="40">
        <v>0</v>
      </c>
      <c r="D28" s="40">
        <v>63</v>
      </c>
      <c r="E28" s="36">
        <f aca="true" t="shared" si="2" ref="E28:E58">D28*$C$4+$D$4</f>
        <v>613.39</v>
      </c>
      <c r="F28" s="36">
        <f aca="true" t="shared" si="3" ref="F28:F58">E28/$B$4</f>
        <v>162.05812417437252</v>
      </c>
      <c r="I28" s="40"/>
      <c r="L28" s="40">
        <v>7</v>
      </c>
      <c r="O28" t="s">
        <v>40</v>
      </c>
    </row>
    <row r="29" spans="1:14" ht="13.5">
      <c r="A29" s="33">
        <v>39580</v>
      </c>
      <c r="B29" s="40">
        <v>8</v>
      </c>
      <c r="C29" s="40">
        <v>15</v>
      </c>
      <c r="D29" s="40">
        <v>56</v>
      </c>
      <c r="E29" s="36">
        <f t="shared" si="2"/>
        <v>539.68</v>
      </c>
      <c r="F29" s="36">
        <f t="shared" si="3"/>
        <v>142.58388375165123</v>
      </c>
      <c r="G29" s="36">
        <f>E28-E29</f>
        <v>73.71000000000004</v>
      </c>
      <c r="H29" s="36">
        <f>G29/$B$4</f>
        <v>19.474240422721277</v>
      </c>
      <c r="I29" s="40">
        <v>18.25</v>
      </c>
      <c r="J29" s="36">
        <f>(G29/I29)*24</f>
        <v>96.93369863013703</v>
      </c>
      <c r="K29" s="36">
        <f>J29/$B$4</f>
        <v>25.609960007962226</v>
      </c>
      <c r="L29" s="40">
        <v>7</v>
      </c>
      <c r="M29" s="36">
        <f>J29/L29</f>
        <v>13.847671232876719</v>
      </c>
      <c r="N29" s="36">
        <f>M29/$B$4</f>
        <v>3.658565715423175</v>
      </c>
    </row>
    <row r="30" spans="1:14" ht="13.5">
      <c r="A30" s="33">
        <v>39581</v>
      </c>
      <c r="B30" s="40">
        <v>8</v>
      </c>
      <c r="C30" s="40">
        <v>25</v>
      </c>
      <c r="D30" s="40">
        <v>46</v>
      </c>
      <c r="E30" s="36">
        <f t="shared" si="2"/>
        <v>434.38</v>
      </c>
      <c r="F30" s="36">
        <f t="shared" si="3"/>
        <v>114.76354029062087</v>
      </c>
      <c r="G30" s="36">
        <f>E29-E30</f>
        <v>105.29999999999995</v>
      </c>
      <c r="H30" s="36">
        <f>G30/$B$4</f>
        <v>27.82034346103037</v>
      </c>
      <c r="I30" s="40">
        <v>42.25</v>
      </c>
      <c r="J30" s="36">
        <f>(G30/I30)*24</f>
        <v>59.815384615384595</v>
      </c>
      <c r="K30" s="36">
        <f>J30/$B$4</f>
        <v>15.803272025200686</v>
      </c>
      <c r="L30" s="40">
        <v>9</v>
      </c>
      <c r="M30" s="36">
        <f>J30/L30</f>
        <v>6.646153846153844</v>
      </c>
      <c r="N30" s="36">
        <f>M30/$B$4</f>
        <v>1.7559191139111872</v>
      </c>
    </row>
    <row r="31" spans="1:15" ht="13.5">
      <c r="A31" s="33">
        <v>39581</v>
      </c>
      <c r="B31" s="40">
        <v>19</v>
      </c>
      <c r="C31" s="40">
        <v>0</v>
      </c>
      <c r="D31" s="40">
        <v>63</v>
      </c>
      <c r="E31" s="36">
        <f t="shared" si="2"/>
        <v>613.39</v>
      </c>
      <c r="F31" s="36">
        <f t="shared" si="3"/>
        <v>162.05812417437252</v>
      </c>
      <c r="G31" s="36"/>
      <c r="H31" s="36"/>
      <c r="I31" s="40">
        <v>10.5</v>
      </c>
      <c r="J31" s="36"/>
      <c r="K31" s="36"/>
      <c r="L31" s="40">
        <v>9</v>
      </c>
      <c r="M31" s="36"/>
      <c r="N31" s="36"/>
      <c r="O31" t="s">
        <v>39</v>
      </c>
    </row>
    <row r="32" spans="1:15" ht="13.5">
      <c r="A32" s="33">
        <v>39582</v>
      </c>
      <c r="B32" s="40">
        <v>9</v>
      </c>
      <c r="C32" s="40">
        <v>37</v>
      </c>
      <c r="D32" s="40">
        <v>61</v>
      </c>
      <c r="E32" s="36">
        <f t="shared" si="2"/>
        <v>592.3299999999999</v>
      </c>
      <c r="F32" s="36">
        <f t="shared" si="3"/>
        <v>156.49405548216643</v>
      </c>
      <c r="G32" s="36">
        <f>E31-E32</f>
        <v>21.06000000000006</v>
      </c>
      <c r="H32" s="36">
        <f>G32/$B$4</f>
        <v>5.564068692206092</v>
      </c>
      <c r="I32" s="40">
        <v>14.5</v>
      </c>
      <c r="J32" s="36">
        <f>(G32/I32)*24</f>
        <v>34.85793103448286</v>
      </c>
      <c r="K32" s="36">
        <f>J32/$B$4</f>
        <v>9.209493007789394</v>
      </c>
      <c r="L32" s="40">
        <v>9</v>
      </c>
      <c r="M32" s="36">
        <f>J32/L32</f>
        <v>3.8731034482758733</v>
      </c>
      <c r="N32" s="36">
        <f>M32/$B$4</f>
        <v>1.0232770008654883</v>
      </c>
      <c r="O32" t="s">
        <v>42</v>
      </c>
    </row>
    <row r="33" spans="1:14" ht="13.5">
      <c r="A33" s="33">
        <v>39583</v>
      </c>
      <c r="B33" s="40">
        <v>8</v>
      </c>
      <c r="C33" s="40">
        <v>20</v>
      </c>
      <c r="D33" s="40">
        <v>52</v>
      </c>
      <c r="E33" s="36">
        <f t="shared" si="2"/>
        <v>497.55999999999995</v>
      </c>
      <c r="F33" s="36">
        <f t="shared" si="3"/>
        <v>131.45574636723907</v>
      </c>
      <c r="G33" s="36">
        <f>E32-E33</f>
        <v>94.76999999999998</v>
      </c>
      <c r="H33" s="36">
        <f>G33/$B$4</f>
        <v>25.03830911492734</v>
      </c>
      <c r="I33" s="40">
        <v>23.4</v>
      </c>
      <c r="J33" s="36">
        <f>(G33/I33)*24</f>
        <v>97.19999999999999</v>
      </c>
      <c r="K33" s="36">
        <f>J33/$B$4</f>
        <v>25.68031704095112</v>
      </c>
      <c r="L33" s="40">
        <v>7</v>
      </c>
      <c r="M33" s="36">
        <f>J33/L33</f>
        <v>13.885714285714284</v>
      </c>
      <c r="N33" s="36">
        <f>M33/$B$4</f>
        <v>3.668616720135874</v>
      </c>
    </row>
    <row r="34" spans="1:14" ht="13.5">
      <c r="A34" s="33">
        <v>39584</v>
      </c>
      <c r="B34" s="40">
        <v>8</v>
      </c>
      <c r="C34" s="40">
        <v>20</v>
      </c>
      <c r="D34" s="40">
        <v>42</v>
      </c>
      <c r="E34" s="36">
        <f t="shared" si="2"/>
        <v>392.26</v>
      </c>
      <c r="F34" s="36">
        <f t="shared" si="3"/>
        <v>103.63540290620871</v>
      </c>
      <c r="G34" s="36">
        <f>E33-E34</f>
        <v>105.29999999999995</v>
      </c>
      <c r="H34" s="36">
        <f>G34/$B$4</f>
        <v>27.82034346103037</v>
      </c>
      <c r="I34" s="40">
        <v>24</v>
      </c>
      <c r="J34" s="36">
        <f>(G34/I34)*24</f>
        <v>105.29999999999995</v>
      </c>
      <c r="K34" s="36">
        <f>J34/$B$4</f>
        <v>27.82034346103037</v>
      </c>
      <c r="L34" s="40">
        <v>7</v>
      </c>
      <c r="M34" s="36">
        <f>J34/L34</f>
        <v>15.042857142857136</v>
      </c>
      <c r="N34" s="36">
        <f>M34/$B$4</f>
        <v>3.9743347801471955</v>
      </c>
    </row>
    <row r="35" spans="1:14" ht="13.5">
      <c r="A35" s="33">
        <v>39584</v>
      </c>
      <c r="B35" s="40">
        <v>14</v>
      </c>
      <c r="C35" s="40">
        <v>15</v>
      </c>
      <c r="D35" s="40">
        <v>31</v>
      </c>
      <c r="E35" s="36">
        <f t="shared" si="2"/>
        <v>276.43</v>
      </c>
      <c r="F35" s="36">
        <f t="shared" si="3"/>
        <v>73.0330250990753</v>
      </c>
      <c r="G35" s="36">
        <f>E34-E35</f>
        <v>115.82999999999998</v>
      </c>
      <c r="H35" s="36">
        <f>G35/$B$4</f>
        <v>30.602377807133415</v>
      </c>
      <c r="I35" s="40">
        <v>6</v>
      </c>
      <c r="J35" s="36">
        <f>(G35/I35)*24</f>
        <v>463.31999999999994</v>
      </c>
      <c r="K35" s="36">
        <f>J35/$B$4</f>
        <v>122.40951122853366</v>
      </c>
      <c r="L35" s="40">
        <v>7</v>
      </c>
      <c r="M35" s="36">
        <f>J35/L35</f>
        <v>66.18857142857142</v>
      </c>
      <c r="N35" s="36">
        <f>M35/$B$4</f>
        <v>17.487073032647668</v>
      </c>
    </row>
    <row r="36" spans="1:15" ht="13.5">
      <c r="A36" s="33">
        <v>39584</v>
      </c>
      <c r="B36" s="40">
        <v>14</v>
      </c>
      <c r="C36" s="40">
        <v>15</v>
      </c>
      <c r="D36" s="40">
        <v>63</v>
      </c>
      <c r="E36" s="36">
        <f t="shared" si="2"/>
        <v>613.39</v>
      </c>
      <c r="F36" s="36">
        <f t="shared" si="3"/>
        <v>162.05812417437252</v>
      </c>
      <c r="G36" s="36"/>
      <c r="H36" s="36"/>
      <c r="I36" s="40"/>
      <c r="J36" s="36"/>
      <c r="K36" s="36"/>
      <c r="L36" s="40">
        <v>7</v>
      </c>
      <c r="M36" s="36"/>
      <c r="N36" s="36"/>
      <c r="O36" t="s">
        <v>39</v>
      </c>
    </row>
    <row r="37" spans="1:15" ht="13.5">
      <c r="A37" s="33">
        <v>39585</v>
      </c>
      <c r="B37" s="40">
        <v>10</v>
      </c>
      <c r="C37" s="40">
        <v>40</v>
      </c>
      <c r="D37" s="40">
        <v>60</v>
      </c>
      <c r="E37" s="36">
        <f t="shared" si="2"/>
        <v>581.8</v>
      </c>
      <c r="F37" s="36">
        <f t="shared" si="3"/>
        <v>153.71202113606338</v>
      </c>
      <c r="G37" s="36">
        <f>E36-E37</f>
        <v>31.590000000000032</v>
      </c>
      <c r="H37" s="36">
        <f>G37/$B$4</f>
        <v>8.346103038309122</v>
      </c>
      <c r="I37" s="40">
        <v>26.3</v>
      </c>
      <c r="J37" s="36">
        <f>(G37/I37)*24</f>
        <v>28.82737642585554</v>
      </c>
      <c r="K37" s="36">
        <f>J37/$B$4</f>
        <v>7.6162157003581346</v>
      </c>
      <c r="L37" s="40">
        <v>6</v>
      </c>
      <c r="M37" s="36">
        <f>J37/L37</f>
        <v>4.80456273764259</v>
      </c>
      <c r="N37" s="36">
        <f>M37/$B$4</f>
        <v>1.2693692833930226</v>
      </c>
      <c r="O37" t="s">
        <v>43</v>
      </c>
    </row>
    <row r="38" spans="1:14" ht="13.5">
      <c r="A38" s="33">
        <v>39586</v>
      </c>
      <c r="B38" s="40">
        <v>9</v>
      </c>
      <c r="C38" s="40">
        <v>0</v>
      </c>
      <c r="D38" s="40">
        <v>54</v>
      </c>
      <c r="E38" s="36">
        <f t="shared" si="2"/>
        <v>518.62</v>
      </c>
      <c r="F38" s="36">
        <f t="shared" si="3"/>
        <v>137.01981505944516</v>
      </c>
      <c r="G38" s="36">
        <f>E37-E38</f>
        <v>63.17999999999995</v>
      </c>
      <c r="H38" s="36">
        <f>G38/$B$4</f>
        <v>16.692206076618216</v>
      </c>
      <c r="I38" s="40">
        <v>23</v>
      </c>
      <c r="J38" s="36">
        <f>(G38/I38)*24</f>
        <v>65.92695652173907</v>
      </c>
      <c r="K38" s="36">
        <f>J38/$B$4</f>
        <v>17.417954166905965</v>
      </c>
      <c r="L38" s="40">
        <v>6</v>
      </c>
      <c r="M38" s="36">
        <f>J38/L38</f>
        <v>10.987826086956511</v>
      </c>
      <c r="N38" s="36">
        <f>M38/$B$4</f>
        <v>2.902992361150994</v>
      </c>
    </row>
    <row r="39" spans="1:15" ht="13.5">
      <c r="A39" s="33">
        <v>39586</v>
      </c>
      <c r="B39" s="40">
        <v>9</v>
      </c>
      <c r="C39" s="40">
        <v>0</v>
      </c>
      <c r="D39" s="40">
        <v>63</v>
      </c>
      <c r="E39" s="36">
        <f t="shared" si="2"/>
        <v>613.39</v>
      </c>
      <c r="F39" s="36">
        <f t="shared" si="3"/>
        <v>162.05812417437252</v>
      </c>
      <c r="G39" s="36"/>
      <c r="H39" s="36"/>
      <c r="I39" s="40"/>
      <c r="J39" s="36"/>
      <c r="K39" s="36"/>
      <c r="L39" s="40"/>
      <c r="M39" s="36"/>
      <c r="N39" s="36"/>
      <c r="O39" t="s">
        <v>44</v>
      </c>
    </row>
    <row r="40" spans="1:14" ht="13.5">
      <c r="A40" s="33">
        <v>39587</v>
      </c>
      <c r="B40" s="40">
        <v>8</v>
      </c>
      <c r="C40" s="40">
        <v>45</v>
      </c>
      <c r="D40" s="40">
        <v>50.5</v>
      </c>
      <c r="E40" s="36">
        <f t="shared" si="2"/>
        <v>481.765</v>
      </c>
      <c r="F40" s="36">
        <f t="shared" si="3"/>
        <v>127.28269484808453</v>
      </c>
      <c r="G40" s="36">
        <f>E39-E40</f>
        <v>131.625</v>
      </c>
      <c r="H40" s="36">
        <f>G40/$B$4</f>
        <v>34.77542932628798</v>
      </c>
      <c r="I40" s="40">
        <v>24.25</v>
      </c>
      <c r="J40" s="36">
        <f>(G40/I40)*24</f>
        <v>130.2680412371134</v>
      </c>
      <c r="K40" s="36">
        <f aca="true" t="shared" si="4" ref="K40:K47">J40/$B$4</f>
        <v>34.416919745604595</v>
      </c>
      <c r="L40" s="40">
        <v>7</v>
      </c>
      <c r="M40" s="36">
        <f>J40/L40</f>
        <v>18.609720176730487</v>
      </c>
      <c r="N40" s="36">
        <f>M40/$B$4</f>
        <v>4.916702820800657</v>
      </c>
    </row>
    <row r="41" spans="1:14" ht="13.5">
      <c r="A41" s="33">
        <v>39588</v>
      </c>
      <c r="B41" s="40">
        <v>8</v>
      </c>
      <c r="C41" s="40">
        <v>25</v>
      </c>
      <c r="D41" s="40">
        <v>40</v>
      </c>
      <c r="E41" s="36">
        <f t="shared" si="2"/>
        <v>371.2</v>
      </c>
      <c r="F41" s="36">
        <f t="shared" si="3"/>
        <v>98.07133421400263</v>
      </c>
      <c r="G41" s="36">
        <f>E40-E41</f>
        <v>110.565</v>
      </c>
      <c r="H41" s="36">
        <f>G41/$B$4</f>
        <v>29.2113606340819</v>
      </c>
      <c r="I41" s="40">
        <v>23.75</v>
      </c>
      <c r="J41" s="36">
        <f>(G41/I41)*24</f>
        <v>111.72884210526314</v>
      </c>
      <c r="K41" s="36">
        <f t="shared" si="4"/>
        <v>29.518848640756442</v>
      </c>
      <c r="L41" s="40">
        <v>7</v>
      </c>
      <c r="M41" s="36">
        <f>J41/L41</f>
        <v>15.961263157894734</v>
      </c>
      <c r="N41" s="36">
        <f>M41/$B$4</f>
        <v>4.21697837725092</v>
      </c>
    </row>
    <row r="42" spans="1:15" ht="13.5">
      <c r="A42" s="33">
        <v>39588</v>
      </c>
      <c r="B42" s="40">
        <v>11</v>
      </c>
      <c r="C42" s="40">
        <v>22</v>
      </c>
      <c r="D42" s="40">
        <v>37</v>
      </c>
      <c r="E42" s="36">
        <f t="shared" si="2"/>
        <v>339.60999999999996</v>
      </c>
      <c r="F42" s="36">
        <f t="shared" si="3"/>
        <v>89.72523117569351</v>
      </c>
      <c r="G42" s="36">
        <f>E41-E42</f>
        <v>31.590000000000032</v>
      </c>
      <c r="H42" s="36">
        <f>G42/$B$4</f>
        <v>8.346103038309122</v>
      </c>
      <c r="I42" s="40">
        <v>3</v>
      </c>
      <c r="J42" s="36">
        <f>(G42/I42)*24</f>
        <v>252.72000000000025</v>
      </c>
      <c r="K42" s="36">
        <f t="shared" si="4"/>
        <v>66.76882430647298</v>
      </c>
      <c r="L42" s="40">
        <v>7</v>
      </c>
      <c r="M42" s="36">
        <f>J42/L42</f>
        <v>36.10285714285718</v>
      </c>
      <c r="N42" s="36">
        <f>M42/$B$4</f>
        <v>9.538403472353284</v>
      </c>
      <c r="O42" t="s">
        <v>45</v>
      </c>
    </row>
    <row r="43" spans="1:15" ht="13.5">
      <c r="A43" s="33">
        <v>39588</v>
      </c>
      <c r="B43" s="40">
        <v>11</v>
      </c>
      <c r="C43" s="40">
        <v>30</v>
      </c>
      <c r="D43" s="40">
        <v>63</v>
      </c>
      <c r="E43" s="36">
        <f t="shared" si="2"/>
        <v>613.39</v>
      </c>
      <c r="F43" s="36">
        <f t="shared" si="3"/>
        <v>162.05812417437252</v>
      </c>
      <c r="G43" s="36"/>
      <c r="H43" s="36"/>
      <c r="I43" s="40"/>
      <c r="J43" s="36"/>
      <c r="K43" s="36">
        <f t="shared" si="4"/>
        <v>0</v>
      </c>
      <c r="L43" s="40">
        <v>7</v>
      </c>
      <c r="M43" s="36"/>
      <c r="N43" s="36"/>
      <c r="O43" t="s">
        <v>40</v>
      </c>
    </row>
    <row r="44" spans="1:14" ht="13.5">
      <c r="A44" s="33">
        <v>39589</v>
      </c>
      <c r="B44" s="40">
        <v>8</v>
      </c>
      <c r="C44" s="40">
        <v>45</v>
      </c>
      <c r="D44" s="40">
        <v>54</v>
      </c>
      <c r="E44" s="36">
        <f t="shared" si="2"/>
        <v>518.62</v>
      </c>
      <c r="F44" s="36">
        <f t="shared" si="3"/>
        <v>137.01981505944516</v>
      </c>
      <c r="G44" s="36">
        <f>E43-E44</f>
        <v>94.76999999999998</v>
      </c>
      <c r="H44" s="36">
        <f>G44/$B$4</f>
        <v>25.03830911492734</v>
      </c>
      <c r="I44" s="40">
        <v>21.5</v>
      </c>
      <c r="J44" s="36">
        <f>(G44/I44)*24</f>
        <v>105.78976744186045</v>
      </c>
      <c r="K44" s="36">
        <f t="shared" si="4"/>
        <v>27.94974040736075</v>
      </c>
      <c r="L44" s="40">
        <v>8</v>
      </c>
      <c r="M44" s="36">
        <f>J44/L44</f>
        <v>13.223720930232556</v>
      </c>
      <c r="N44" s="36">
        <f>M44/$B$4</f>
        <v>3.4937175509200937</v>
      </c>
    </row>
    <row r="45" spans="1:14" ht="13.5">
      <c r="A45" s="33">
        <v>39590</v>
      </c>
      <c r="B45" s="40">
        <v>8</v>
      </c>
      <c r="C45" s="40">
        <v>40</v>
      </c>
      <c r="D45" s="40">
        <v>41</v>
      </c>
      <c r="E45" s="36">
        <f t="shared" si="2"/>
        <v>381.72999999999996</v>
      </c>
      <c r="F45" s="36">
        <f t="shared" si="3"/>
        <v>100.85336856010566</v>
      </c>
      <c r="G45" s="36">
        <f>E44-E45</f>
        <v>136.89000000000004</v>
      </c>
      <c r="H45" s="36">
        <f>G45/$B$4</f>
        <v>36.16644649933951</v>
      </c>
      <c r="I45" s="40">
        <v>24</v>
      </c>
      <c r="J45" s="36">
        <f>(G45/I45)*24</f>
        <v>136.89000000000004</v>
      </c>
      <c r="K45" s="36">
        <f t="shared" si="4"/>
        <v>36.16644649933951</v>
      </c>
      <c r="L45" s="40">
        <v>9</v>
      </c>
      <c r="M45" s="36">
        <f>J45/L45</f>
        <v>15.210000000000004</v>
      </c>
      <c r="N45" s="36">
        <f>M45/$B$4</f>
        <v>4.018494055482168</v>
      </c>
    </row>
    <row r="46" spans="1:14" ht="13.5">
      <c r="A46" s="33">
        <v>39591</v>
      </c>
      <c r="B46" s="40">
        <v>8</v>
      </c>
      <c r="C46" s="40">
        <v>45</v>
      </c>
      <c r="D46" s="40">
        <v>27</v>
      </c>
      <c r="E46" s="36">
        <f t="shared" si="2"/>
        <v>234.31</v>
      </c>
      <c r="F46" s="36">
        <f t="shared" si="3"/>
        <v>61.90488771466314</v>
      </c>
      <c r="G46" s="36">
        <f>E45-E46</f>
        <v>147.41999999999996</v>
      </c>
      <c r="H46" s="36">
        <f>G46/$B$4</f>
        <v>38.948480845442525</v>
      </c>
      <c r="I46" s="40">
        <v>24</v>
      </c>
      <c r="J46" s="36">
        <f>(G46/I46)*24</f>
        <v>147.41999999999996</v>
      </c>
      <c r="K46" s="36">
        <f t="shared" si="4"/>
        <v>38.948480845442525</v>
      </c>
      <c r="L46" s="40">
        <v>9</v>
      </c>
      <c r="M46" s="36">
        <f>J46/L46</f>
        <v>16.379999999999995</v>
      </c>
      <c r="N46" s="36">
        <f>M46/$B$4</f>
        <v>4.3276089828269475</v>
      </c>
    </row>
    <row r="47" spans="1:15" ht="13.5">
      <c r="A47" s="33">
        <v>39592</v>
      </c>
      <c r="B47" s="40">
        <v>8</v>
      </c>
      <c r="C47" s="40">
        <v>35</v>
      </c>
      <c r="D47" s="40">
        <v>18</v>
      </c>
      <c r="E47" s="36">
        <f t="shared" si="2"/>
        <v>139.54</v>
      </c>
      <c r="F47" s="36">
        <f t="shared" si="3"/>
        <v>36.866578599735796</v>
      </c>
      <c r="G47" s="36">
        <f>E46-E47</f>
        <v>94.77000000000001</v>
      </c>
      <c r="H47" s="36">
        <f>G47/$B$4</f>
        <v>25.038309114927348</v>
      </c>
      <c r="I47" s="40">
        <v>24</v>
      </c>
      <c r="J47" s="36">
        <f>(G47/I47)*24</f>
        <v>94.77000000000001</v>
      </c>
      <c r="K47" s="36">
        <f t="shared" si="4"/>
        <v>25.038309114927348</v>
      </c>
      <c r="L47" s="40">
        <v>9</v>
      </c>
      <c r="M47" s="36">
        <f>J47/L47</f>
        <v>10.530000000000001</v>
      </c>
      <c r="N47" s="36">
        <f>M47/$B$4</f>
        <v>2.7820343461030386</v>
      </c>
      <c r="O47" t="s">
        <v>43</v>
      </c>
    </row>
    <row r="48" spans="1:15" ht="13.5">
      <c r="A48" s="33">
        <v>39593</v>
      </c>
      <c r="B48" s="40">
        <v>10</v>
      </c>
      <c r="C48" s="40">
        <v>20</v>
      </c>
      <c r="D48" s="40">
        <v>59.5</v>
      </c>
      <c r="E48" s="36">
        <f t="shared" si="2"/>
        <v>576.535</v>
      </c>
      <c r="F48" s="36">
        <f t="shared" si="3"/>
        <v>152.32100396301186</v>
      </c>
      <c r="I48" s="40"/>
      <c r="L48" s="40">
        <v>6</v>
      </c>
      <c r="O48" t="s">
        <v>43</v>
      </c>
    </row>
    <row r="49" spans="1:14" ht="13.5">
      <c r="A49" s="33">
        <v>39594</v>
      </c>
      <c r="B49" s="40">
        <v>8</v>
      </c>
      <c r="C49" s="40">
        <v>0</v>
      </c>
      <c r="D49" s="40">
        <v>49</v>
      </c>
      <c r="E49" s="36">
        <f t="shared" si="2"/>
        <v>465.9699999999999</v>
      </c>
      <c r="F49" s="36">
        <f t="shared" si="3"/>
        <v>123.10964332892996</v>
      </c>
      <c r="G49" s="36">
        <f>E48-E49</f>
        <v>110.56500000000005</v>
      </c>
      <c r="H49" s="36">
        <f>G49/$B$4</f>
        <v>29.211360634081917</v>
      </c>
      <c r="I49" s="40">
        <v>21.5</v>
      </c>
      <c r="J49" s="36">
        <f>(G49/I49)*24</f>
        <v>123.42139534883727</v>
      </c>
      <c r="K49" s="36">
        <f>J49/$B$4</f>
        <v>32.60803047525423</v>
      </c>
      <c r="L49" s="40">
        <v>7</v>
      </c>
      <c r="M49" s="36">
        <f>J49/L49</f>
        <v>17.631627906976753</v>
      </c>
      <c r="N49" s="36">
        <f>M49/$B$4</f>
        <v>4.658290067893462</v>
      </c>
    </row>
    <row r="50" spans="1:14" ht="13.5">
      <c r="A50" s="33">
        <v>39595</v>
      </c>
      <c r="B50" s="40">
        <v>8</v>
      </c>
      <c r="C50" s="40">
        <v>27</v>
      </c>
      <c r="D50" s="40">
        <v>40</v>
      </c>
      <c r="E50" s="36">
        <f t="shared" si="2"/>
        <v>371.2</v>
      </c>
      <c r="F50" s="36">
        <f t="shared" si="3"/>
        <v>98.07133421400263</v>
      </c>
      <c r="G50" s="36">
        <f>E49-E50</f>
        <v>94.76999999999992</v>
      </c>
      <c r="H50" s="36">
        <f>G50/$B$4</f>
        <v>25.038309114927323</v>
      </c>
      <c r="I50" s="40">
        <v>24.5</v>
      </c>
      <c r="J50" s="36">
        <f>(G50/I50)*24</f>
        <v>92.83591836734686</v>
      </c>
      <c r="K50" s="36">
        <f>J50/$B$4</f>
        <v>24.527323214622683</v>
      </c>
      <c r="L50" s="40">
        <v>7</v>
      </c>
      <c r="M50" s="36">
        <f>J50/L50</f>
        <v>13.262274052478123</v>
      </c>
      <c r="N50" s="36">
        <f>M50/$B$4</f>
        <v>3.503903316374669</v>
      </c>
    </row>
    <row r="51" spans="1:14" ht="13.5">
      <c r="A51" s="33">
        <v>39595</v>
      </c>
      <c r="B51" s="40">
        <v>17</v>
      </c>
      <c r="C51" s="40">
        <v>40</v>
      </c>
      <c r="D51" s="40">
        <v>35</v>
      </c>
      <c r="E51" s="36">
        <f t="shared" si="2"/>
        <v>318.54999999999995</v>
      </c>
      <c r="F51" s="36">
        <f t="shared" si="3"/>
        <v>84.16116248348743</v>
      </c>
      <c r="G51" s="36">
        <f>E50-E51</f>
        <v>52.650000000000034</v>
      </c>
      <c r="H51" s="36">
        <f>G51/$B$4</f>
        <v>13.9101717305152</v>
      </c>
      <c r="I51" s="40">
        <v>9</v>
      </c>
      <c r="J51" s="36">
        <f>(G51/I51)*24</f>
        <v>140.4000000000001</v>
      </c>
      <c r="K51" s="36">
        <f>J51/$B$4</f>
        <v>37.09379128137387</v>
      </c>
      <c r="L51" s="40">
        <v>7</v>
      </c>
      <c r="M51" s="36">
        <f>J51/L51</f>
        <v>20.05714285714287</v>
      </c>
      <c r="N51" s="36">
        <f>M51/$B$4</f>
        <v>5.299113040196267</v>
      </c>
    </row>
    <row r="52" spans="1:15" ht="13.5">
      <c r="A52" s="33">
        <v>39595</v>
      </c>
      <c r="B52" s="40">
        <v>18</v>
      </c>
      <c r="C52" s="40">
        <v>0</v>
      </c>
      <c r="D52" s="40">
        <v>63</v>
      </c>
      <c r="E52" s="36">
        <f t="shared" si="2"/>
        <v>613.39</v>
      </c>
      <c r="F52" s="36">
        <f t="shared" si="3"/>
        <v>162.05812417437252</v>
      </c>
      <c r="I52" s="40"/>
      <c r="L52" s="40">
        <v>7</v>
      </c>
      <c r="O52" t="s">
        <v>40</v>
      </c>
    </row>
    <row r="53" spans="1:14" ht="13.5">
      <c r="A53" s="73">
        <v>39596</v>
      </c>
      <c r="B53" s="40">
        <v>8</v>
      </c>
      <c r="C53" s="40">
        <v>45</v>
      </c>
      <c r="D53" s="40">
        <v>60</v>
      </c>
      <c r="E53" s="36">
        <f t="shared" si="2"/>
        <v>581.8</v>
      </c>
      <c r="F53" s="36">
        <f t="shared" si="3"/>
        <v>153.71202113606338</v>
      </c>
      <c r="G53" s="36">
        <f>E52-E53</f>
        <v>31.590000000000032</v>
      </c>
      <c r="H53" s="36">
        <f aca="true" t="shared" si="5" ref="H53:H58">G53/$B$4</f>
        <v>8.346103038309122</v>
      </c>
      <c r="I53" s="40">
        <v>14.5</v>
      </c>
      <c r="J53" s="36">
        <f>(G53/I53)*24</f>
        <v>52.2868965517242</v>
      </c>
      <c r="K53" s="36">
        <f>J53/$B$4</f>
        <v>13.814239511684068</v>
      </c>
      <c r="L53" s="40">
        <v>7</v>
      </c>
      <c r="M53" s="36">
        <f>J53/L53</f>
        <v>7.4695566502463135</v>
      </c>
      <c r="N53" s="36">
        <f>M53/$B$4</f>
        <v>1.973462787383438</v>
      </c>
    </row>
    <row r="54" spans="1:14" ht="13.5">
      <c r="A54" s="73">
        <v>39597</v>
      </c>
      <c r="B54" s="40">
        <v>8</v>
      </c>
      <c r="C54" s="40">
        <v>20</v>
      </c>
      <c r="D54" s="40">
        <v>49</v>
      </c>
      <c r="E54" s="36">
        <f t="shared" si="2"/>
        <v>465.9699999999999</v>
      </c>
      <c r="F54" s="36">
        <f t="shared" si="3"/>
        <v>123.10964332892996</v>
      </c>
      <c r="G54" s="36">
        <f>E53-E54</f>
        <v>115.83000000000004</v>
      </c>
      <c r="H54" s="36">
        <f t="shared" si="5"/>
        <v>30.602377807133433</v>
      </c>
      <c r="I54" s="40">
        <v>24</v>
      </c>
      <c r="J54" s="36">
        <f>(G54/I54)*24</f>
        <v>115.83000000000004</v>
      </c>
      <c r="K54" s="36">
        <f>J54/$B$4</f>
        <v>30.602377807133433</v>
      </c>
      <c r="L54" s="40">
        <v>7</v>
      </c>
      <c r="M54" s="36">
        <f>J54/L54</f>
        <v>16.547142857142862</v>
      </c>
      <c r="N54" s="36">
        <f>M54/$B$4</f>
        <v>4.371768258161919</v>
      </c>
    </row>
    <row r="55" spans="1:14" ht="13.5">
      <c r="A55" s="73">
        <v>39598</v>
      </c>
      <c r="B55" s="40">
        <v>8</v>
      </c>
      <c r="C55" s="40">
        <v>50</v>
      </c>
      <c r="D55" s="40">
        <v>27</v>
      </c>
      <c r="E55" s="36">
        <f t="shared" si="2"/>
        <v>234.31</v>
      </c>
      <c r="F55" s="36">
        <f t="shared" si="3"/>
        <v>61.90488771466314</v>
      </c>
      <c r="G55" s="36">
        <f>E54-E55</f>
        <v>231.6599999999999</v>
      </c>
      <c r="H55" s="36">
        <f t="shared" si="5"/>
        <v>61.204755614266816</v>
      </c>
      <c r="I55" s="40">
        <v>24</v>
      </c>
      <c r="J55" s="36">
        <f>(G55/I55)*24</f>
        <v>231.6599999999999</v>
      </c>
      <c r="K55" s="36">
        <f>J55/$B$4</f>
        <v>61.204755614266816</v>
      </c>
      <c r="L55" s="40">
        <v>7</v>
      </c>
      <c r="M55" s="36">
        <f>J55/L55</f>
        <v>33.094285714285704</v>
      </c>
      <c r="N55" s="36">
        <f>M55/$B$4</f>
        <v>8.743536516323832</v>
      </c>
    </row>
    <row r="56" spans="1:15" ht="13.5">
      <c r="A56" s="73">
        <v>39598</v>
      </c>
      <c r="B56" s="40">
        <v>8</v>
      </c>
      <c r="C56" s="40">
        <v>50</v>
      </c>
      <c r="D56" s="40">
        <v>63</v>
      </c>
      <c r="E56" s="36">
        <f t="shared" si="2"/>
        <v>613.39</v>
      </c>
      <c r="F56" s="36">
        <f t="shared" si="3"/>
        <v>162.05812417437252</v>
      </c>
      <c r="I56" s="40"/>
      <c r="L56" s="40">
        <v>7</v>
      </c>
      <c r="O56" t="s">
        <v>141</v>
      </c>
    </row>
    <row r="57" spans="1:14" ht="13.5">
      <c r="A57" s="73">
        <v>39599</v>
      </c>
      <c r="B57" s="40">
        <v>15</v>
      </c>
      <c r="C57" s="40">
        <v>0</v>
      </c>
      <c r="D57" s="40">
        <v>54</v>
      </c>
      <c r="E57" s="36">
        <f t="shared" si="2"/>
        <v>518.62</v>
      </c>
      <c r="F57" s="36">
        <f t="shared" si="3"/>
        <v>137.01981505944516</v>
      </c>
      <c r="G57" s="36">
        <f>E56-E57</f>
        <v>94.76999999999998</v>
      </c>
      <c r="H57" s="36">
        <f t="shared" si="5"/>
        <v>25.03830911492734</v>
      </c>
      <c r="I57" s="40">
        <v>30</v>
      </c>
      <c r="J57" s="36">
        <f>(G57/I57)*24</f>
        <v>75.81599999999999</v>
      </c>
      <c r="K57" s="36">
        <f>J57/$B$4</f>
        <v>20.03064729194187</v>
      </c>
      <c r="L57" s="40">
        <v>7</v>
      </c>
      <c r="M57" s="36">
        <f>J57/L57</f>
        <v>10.830857142857141</v>
      </c>
      <c r="N57" s="36">
        <f>M57/$B$4</f>
        <v>2.8615210417059815</v>
      </c>
    </row>
    <row r="58" spans="1:14" ht="13.5">
      <c r="A58" s="73">
        <v>39600</v>
      </c>
      <c r="B58" s="40">
        <v>10</v>
      </c>
      <c r="C58" s="40">
        <v>0</v>
      </c>
      <c r="D58" s="40">
        <v>42</v>
      </c>
      <c r="E58" s="36">
        <f t="shared" si="2"/>
        <v>392.26</v>
      </c>
      <c r="F58" s="36">
        <f t="shared" si="3"/>
        <v>103.63540290620871</v>
      </c>
      <c r="G58" s="36">
        <f>E57-E58</f>
        <v>126.36000000000001</v>
      </c>
      <c r="H58" s="36">
        <f t="shared" si="5"/>
        <v>33.38441215323646</v>
      </c>
      <c r="I58" s="40">
        <v>19</v>
      </c>
      <c r="J58" s="36">
        <f>(G58/I58)*24</f>
        <v>159.6126315789474</v>
      </c>
      <c r="K58" s="36">
        <f>J58/$B$4</f>
        <v>42.16978377250922</v>
      </c>
      <c r="L58" s="40">
        <v>7</v>
      </c>
      <c r="M58" s="36">
        <f>J58/L58</f>
        <v>22.8018045112782</v>
      </c>
      <c r="N58" s="36">
        <f>M58/$B$4</f>
        <v>6.024254824644174</v>
      </c>
    </row>
    <row r="59" spans="1:12" ht="13.5">
      <c r="A59" s="40"/>
      <c r="B59" s="40"/>
      <c r="C59" s="40"/>
      <c r="D59" s="40"/>
      <c r="I59" s="40"/>
      <c r="L59" s="40"/>
    </row>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dimension ref="A1:P59"/>
  <sheetViews>
    <sheetView workbookViewId="0" topLeftCell="A6">
      <pane ySplit="3" topLeftCell="BM9" activePane="bottomLeft" state="frozen"/>
      <selection pane="topLeft" activeCell="A6" sqref="A6"/>
      <selection pane="bottomLeft" activeCell="A54" sqref="A54:A59"/>
    </sheetView>
  </sheetViews>
  <sheetFormatPr defaultColWidth="9.140625" defaultRowHeight="15"/>
  <cols>
    <col min="1" max="1" width="14.7109375" style="40" customWidth="1"/>
    <col min="2" max="3" width="5.8515625" style="40" customWidth="1"/>
    <col min="4" max="4" width="12.7109375" style="40" customWidth="1"/>
    <col min="5" max="5" width="8.57421875" style="0" customWidth="1"/>
    <col min="6" max="6" width="9.28125" style="0" customWidth="1"/>
    <col min="7" max="7" width="8.28125" style="0" customWidth="1"/>
    <col min="8" max="8" width="9.28125" style="0" customWidth="1"/>
    <col min="9" max="9" width="7.8515625" style="40" customWidth="1"/>
    <col min="10" max="11" width="7.8515625" style="0" customWidth="1"/>
    <col min="12" max="12" width="8.421875" style="40" customWidth="1"/>
    <col min="13" max="14" width="9.28125" style="0" customWidth="1"/>
    <col min="15" max="15" width="21.8515625" style="0" customWidth="1"/>
    <col min="16" max="16384" width="11.8515625" style="0" customWidth="1"/>
  </cols>
  <sheetData>
    <row r="1" spans="1:16" ht="13.5">
      <c r="A1" s="1" t="s">
        <v>46</v>
      </c>
      <c r="B1" s="1"/>
      <c r="C1" s="1"/>
      <c r="D1" s="2"/>
      <c r="I1"/>
      <c r="L1" s="3" t="s">
        <v>1</v>
      </c>
      <c r="M1" s="4"/>
      <c r="N1" s="4"/>
      <c r="O1" s="4"/>
      <c r="P1" s="4"/>
    </row>
    <row r="2" spans="1:16" ht="13.5">
      <c r="A2"/>
      <c r="B2"/>
      <c r="C2"/>
      <c r="D2" s="5"/>
      <c r="I2"/>
      <c r="L2" s="4" t="s">
        <v>3</v>
      </c>
      <c r="M2" s="4"/>
      <c r="N2" s="4"/>
      <c r="O2" s="4"/>
      <c r="P2" s="4"/>
    </row>
    <row r="3" spans="1:16" ht="27">
      <c r="A3"/>
      <c r="B3"/>
      <c r="C3"/>
      <c r="D3" s="7" t="s">
        <v>4</v>
      </c>
      <c r="E3" s="8" t="s">
        <v>5</v>
      </c>
      <c r="F3" s="8" t="s">
        <v>6</v>
      </c>
      <c r="G3" s="10"/>
      <c r="H3" s="13"/>
      <c r="I3" s="13"/>
      <c r="J3" s="13"/>
      <c r="K3" s="13"/>
      <c r="L3" s="4" t="s">
        <v>12</v>
      </c>
      <c r="M3" s="4"/>
      <c r="N3" s="4"/>
      <c r="O3" s="4"/>
      <c r="P3" s="4"/>
    </row>
    <row r="4" spans="1:16" ht="13.5">
      <c r="A4"/>
      <c r="B4"/>
      <c r="C4"/>
      <c r="D4" s="14"/>
      <c r="E4" s="43">
        <v>3.78</v>
      </c>
      <c r="F4" s="16">
        <f>Calibrations!G16</f>
        <v>3.9187499999999997</v>
      </c>
      <c r="G4" s="10"/>
      <c r="H4" s="20"/>
      <c r="I4" s="20"/>
      <c r="J4" s="20"/>
      <c r="K4" s="20"/>
      <c r="L4" s="4" t="s">
        <v>13</v>
      </c>
      <c r="M4" s="4"/>
      <c r="N4" s="4"/>
      <c r="O4" s="4"/>
      <c r="P4" s="4"/>
    </row>
    <row r="5" spans="1:16" ht="13.5">
      <c r="A5"/>
      <c r="B5"/>
      <c r="C5"/>
      <c r="D5" s="44"/>
      <c r="E5" s="45"/>
      <c r="F5" s="46"/>
      <c r="G5" s="10"/>
      <c r="H5" s="20"/>
      <c r="I5" s="20"/>
      <c r="J5" s="20"/>
      <c r="K5" s="20"/>
      <c r="L5" s="4" t="s">
        <v>14</v>
      </c>
      <c r="M5" s="4"/>
      <c r="N5" s="4"/>
      <c r="O5" s="4"/>
      <c r="P5" s="4"/>
    </row>
    <row r="6" spans="1:12" ht="13.5">
      <c r="A6"/>
      <c r="B6"/>
      <c r="C6"/>
      <c r="D6" s="47"/>
      <c r="E6" s="26"/>
      <c r="F6" s="26"/>
      <c r="I6"/>
      <c r="L6"/>
    </row>
    <row r="7" spans="1:15" s="31" customFormat="1" ht="41.25">
      <c r="A7" s="31" t="s">
        <v>17</v>
      </c>
      <c r="B7" s="31" t="s">
        <v>18</v>
      </c>
      <c r="C7" s="31" t="s">
        <v>18</v>
      </c>
      <c r="D7" s="28" t="s">
        <v>19</v>
      </c>
      <c r="E7" s="29" t="s">
        <v>20</v>
      </c>
      <c r="F7" s="29" t="s">
        <v>21</v>
      </c>
      <c r="G7" s="29" t="s">
        <v>22</v>
      </c>
      <c r="H7" s="29" t="s">
        <v>22</v>
      </c>
      <c r="I7" s="48" t="s">
        <v>23</v>
      </c>
      <c r="J7" s="29" t="s">
        <v>47</v>
      </c>
      <c r="K7" s="29" t="s">
        <v>47</v>
      </c>
      <c r="L7" s="30" t="s">
        <v>25</v>
      </c>
      <c r="M7" s="29" t="s">
        <v>26</v>
      </c>
      <c r="N7" s="29" t="s">
        <v>26</v>
      </c>
      <c r="O7" s="31" t="s">
        <v>27</v>
      </c>
    </row>
    <row r="8" spans="1:14" s="31" customFormat="1" ht="27">
      <c r="A8" s="27"/>
      <c r="B8" s="32" t="s">
        <v>28</v>
      </c>
      <c r="C8" s="32" t="s">
        <v>29</v>
      </c>
      <c r="D8" s="28" t="s">
        <v>30</v>
      </c>
      <c r="E8" s="31" t="s">
        <v>31</v>
      </c>
      <c r="F8" s="31" t="s">
        <v>32</v>
      </c>
      <c r="G8" s="31" t="s">
        <v>31</v>
      </c>
      <c r="H8" s="31" t="s">
        <v>32</v>
      </c>
      <c r="I8" s="28" t="s">
        <v>33</v>
      </c>
      <c r="J8" s="31" t="s">
        <v>34</v>
      </c>
      <c r="K8" s="31" t="s">
        <v>35</v>
      </c>
      <c r="L8" s="28"/>
      <c r="M8" s="29" t="s">
        <v>36</v>
      </c>
      <c r="N8" s="29" t="s">
        <v>37</v>
      </c>
    </row>
    <row r="9" spans="1:12" s="31" customFormat="1" ht="13.5">
      <c r="A9" s="27" t="s">
        <v>38</v>
      </c>
      <c r="B9" s="32"/>
      <c r="C9" s="32"/>
      <c r="D9" s="28"/>
      <c r="I9" s="28"/>
      <c r="L9" s="28"/>
    </row>
    <row r="10" spans="1:14" ht="13.5">
      <c r="A10" s="49">
        <v>39559</v>
      </c>
      <c r="B10" s="34">
        <v>8</v>
      </c>
      <c r="C10" s="34">
        <v>45</v>
      </c>
      <c r="D10" s="35">
        <v>10.5</v>
      </c>
      <c r="E10" s="36">
        <f aca="true" t="shared" si="0" ref="E10:E28">D10*$F$4</f>
        <v>41.146874999999994</v>
      </c>
      <c r="F10" s="36">
        <f aca="true" t="shared" si="1" ref="F10:F28">E10/$E$4</f>
        <v>10.885416666666666</v>
      </c>
      <c r="G10" s="36"/>
      <c r="H10" s="36"/>
      <c r="I10" s="37"/>
      <c r="J10" s="36"/>
      <c r="K10" s="36"/>
      <c r="L10" s="35"/>
      <c r="M10" s="38"/>
      <c r="N10" s="38"/>
    </row>
    <row r="11" spans="1:14" ht="13.5">
      <c r="A11" s="49">
        <v>39560</v>
      </c>
      <c r="B11" s="34">
        <v>8</v>
      </c>
      <c r="C11" s="34">
        <v>51</v>
      </c>
      <c r="D11" s="35">
        <v>22</v>
      </c>
      <c r="E11" s="36">
        <f t="shared" si="0"/>
        <v>86.21249999999999</v>
      </c>
      <c r="F11" s="36">
        <f t="shared" si="1"/>
        <v>22.80753968253968</v>
      </c>
      <c r="G11" s="36">
        <f>E11-E10</f>
        <v>45.065625</v>
      </c>
      <c r="H11" s="36">
        <f>G11/$E$4</f>
        <v>11.922123015873016</v>
      </c>
      <c r="I11" s="37">
        <v>24</v>
      </c>
      <c r="J11" s="36">
        <f>(G11/I11)*24</f>
        <v>45.065625</v>
      </c>
      <c r="K11" s="36">
        <f>J11/$E$4</f>
        <v>11.922123015873016</v>
      </c>
      <c r="L11" s="35">
        <v>9</v>
      </c>
      <c r="M11" s="36">
        <f>J11/L11</f>
        <v>5.007291666666666</v>
      </c>
      <c r="N11" s="36">
        <f>M11/$E$4</f>
        <v>1.3246803350970018</v>
      </c>
    </row>
    <row r="12" spans="1:15" ht="13.5">
      <c r="A12" s="49">
        <v>39560</v>
      </c>
      <c r="B12" s="34">
        <v>13</v>
      </c>
      <c r="C12" s="34">
        <v>30</v>
      </c>
      <c r="D12" s="35">
        <v>0</v>
      </c>
      <c r="E12" s="36">
        <f t="shared" si="0"/>
        <v>0</v>
      </c>
      <c r="F12" s="36">
        <f t="shared" si="1"/>
        <v>0</v>
      </c>
      <c r="G12" s="36"/>
      <c r="H12" s="36"/>
      <c r="I12" s="37"/>
      <c r="J12" s="36"/>
      <c r="K12" s="36"/>
      <c r="L12" s="35"/>
      <c r="M12" s="36"/>
      <c r="N12" s="36"/>
      <c r="O12" t="s">
        <v>48</v>
      </c>
    </row>
    <row r="13" spans="1:14" ht="13.5">
      <c r="A13" s="49">
        <v>39561</v>
      </c>
      <c r="B13" s="34">
        <v>8</v>
      </c>
      <c r="C13" s="34">
        <v>45</v>
      </c>
      <c r="D13" s="35">
        <v>12</v>
      </c>
      <c r="E13" s="36">
        <f t="shared" si="0"/>
        <v>47.025</v>
      </c>
      <c r="F13" s="36">
        <f t="shared" si="1"/>
        <v>12.440476190476192</v>
      </c>
      <c r="G13" s="36">
        <f>E13-E12</f>
        <v>47.025</v>
      </c>
      <c r="H13" s="36">
        <f>G13/$E$4</f>
        <v>12.440476190476192</v>
      </c>
      <c r="I13" s="37">
        <v>19.25</v>
      </c>
      <c r="J13" s="36">
        <f>(G13/I13)*24</f>
        <v>58.62857142857142</v>
      </c>
      <c r="K13" s="36">
        <f>J13/$E$4</f>
        <v>15.51020408163265</v>
      </c>
      <c r="L13" s="35">
        <v>9</v>
      </c>
      <c r="M13" s="36">
        <f>J13/L13</f>
        <v>6.514285714285713</v>
      </c>
      <c r="N13" s="36">
        <f>M13/$E$4</f>
        <v>1.7233560090702946</v>
      </c>
    </row>
    <row r="14" spans="1:14" ht="13.5">
      <c r="A14" s="49">
        <v>39562</v>
      </c>
      <c r="B14" s="34">
        <v>8</v>
      </c>
      <c r="C14" s="34">
        <v>45</v>
      </c>
      <c r="D14" s="35">
        <v>28</v>
      </c>
      <c r="E14" s="36">
        <f t="shared" si="0"/>
        <v>109.725</v>
      </c>
      <c r="F14" s="36">
        <f t="shared" si="1"/>
        <v>29.02777777777778</v>
      </c>
      <c r="G14" s="36">
        <f>E14-E13</f>
        <v>62.699999999999996</v>
      </c>
      <c r="H14" s="36">
        <f>G14/$E$4</f>
        <v>16.58730158730159</v>
      </c>
      <c r="I14" s="37">
        <v>24</v>
      </c>
      <c r="J14" s="36">
        <f>(G14/I14)*24</f>
        <v>62.699999999999996</v>
      </c>
      <c r="K14" s="36">
        <f>J14/$E$4</f>
        <v>16.58730158730159</v>
      </c>
      <c r="L14" s="35">
        <v>9</v>
      </c>
      <c r="M14" s="36">
        <f>J14/L14</f>
        <v>6.966666666666666</v>
      </c>
      <c r="N14" s="36">
        <f>M14/$E$4</f>
        <v>1.8430335097001762</v>
      </c>
    </row>
    <row r="15" spans="1:14" ht="13.5">
      <c r="A15" s="49">
        <v>39562</v>
      </c>
      <c r="B15" s="34">
        <v>17</v>
      </c>
      <c r="C15" s="34">
        <v>30</v>
      </c>
      <c r="D15" s="35">
        <v>38</v>
      </c>
      <c r="E15" s="36">
        <f t="shared" si="0"/>
        <v>148.9125</v>
      </c>
      <c r="F15" s="36">
        <f t="shared" si="1"/>
        <v>39.39484126984127</v>
      </c>
      <c r="G15" s="36">
        <f>E15-E14</f>
        <v>39.1875</v>
      </c>
      <c r="H15" s="36">
        <f>G15/$E$4</f>
        <v>10.367063492063492</v>
      </c>
      <c r="I15" s="37">
        <v>9.25</v>
      </c>
      <c r="J15" s="36">
        <f>(G15/I15)*24</f>
        <v>101.67567567567568</v>
      </c>
      <c r="K15" s="36">
        <f>J15/$E$4</f>
        <v>26.8983268983269</v>
      </c>
      <c r="L15" s="35">
        <v>7</v>
      </c>
      <c r="M15" s="36">
        <f>J15/L15</f>
        <v>14.525096525096526</v>
      </c>
      <c r="N15" s="36">
        <f>M15/$E$4</f>
        <v>3.8426181283324143</v>
      </c>
    </row>
    <row r="16" spans="1:15" ht="13.5">
      <c r="A16" s="49">
        <v>39562</v>
      </c>
      <c r="B16" s="34">
        <v>17</v>
      </c>
      <c r="C16" s="34">
        <v>30</v>
      </c>
      <c r="D16" s="35">
        <v>0</v>
      </c>
      <c r="E16" s="36">
        <f t="shared" si="0"/>
        <v>0</v>
      </c>
      <c r="F16" s="36">
        <f t="shared" si="1"/>
        <v>0</v>
      </c>
      <c r="G16" s="36"/>
      <c r="H16" s="36"/>
      <c r="I16" s="37"/>
      <c r="J16" s="36"/>
      <c r="K16" s="36"/>
      <c r="L16" s="35"/>
      <c r="M16" s="36"/>
      <c r="N16" s="36"/>
      <c r="O16" t="s">
        <v>48</v>
      </c>
    </row>
    <row r="17" spans="1:14" ht="13.5">
      <c r="A17" s="49">
        <v>39563</v>
      </c>
      <c r="B17" s="34">
        <v>8</v>
      </c>
      <c r="C17" s="34">
        <v>30</v>
      </c>
      <c r="D17" s="35">
        <v>7</v>
      </c>
      <c r="E17" s="36">
        <f t="shared" si="0"/>
        <v>27.43125</v>
      </c>
      <c r="F17" s="36">
        <f t="shared" si="1"/>
        <v>7.256944444444445</v>
      </c>
      <c r="G17" s="36">
        <f>E17-E16</f>
        <v>27.43125</v>
      </c>
      <c r="H17" s="36">
        <f>G17/$E$4</f>
        <v>7.256944444444445</v>
      </c>
      <c r="I17" s="37">
        <v>15</v>
      </c>
      <c r="J17" s="36">
        <f>(G17/I17)*24</f>
        <v>43.89</v>
      </c>
      <c r="K17" s="36">
        <f>J17/$E$4</f>
        <v>11.611111111111112</v>
      </c>
      <c r="L17" s="35">
        <v>7</v>
      </c>
      <c r="M17" s="36">
        <f>J17/L17</f>
        <v>6.2700000000000005</v>
      </c>
      <c r="N17" s="36">
        <f>M17/$E$4</f>
        <v>1.6587301587301588</v>
      </c>
    </row>
    <row r="18" spans="1:14" ht="13.5">
      <c r="A18" s="49">
        <v>39564</v>
      </c>
      <c r="B18" s="34">
        <v>9</v>
      </c>
      <c r="C18" s="34">
        <v>30</v>
      </c>
      <c r="D18" s="35">
        <v>28</v>
      </c>
      <c r="E18" s="36">
        <f t="shared" si="0"/>
        <v>109.725</v>
      </c>
      <c r="F18" s="36">
        <f t="shared" si="1"/>
        <v>29.02777777777778</v>
      </c>
      <c r="G18" s="36">
        <f>E18-E17</f>
        <v>82.29374999999999</v>
      </c>
      <c r="H18" s="36">
        <f>G18/$E$4</f>
        <v>21.770833333333332</v>
      </c>
      <c r="I18" s="37">
        <v>25</v>
      </c>
      <c r="J18" s="36">
        <f>(G18/I18)*24</f>
        <v>79.00199999999998</v>
      </c>
      <c r="K18" s="36">
        <f>J18/$E$4</f>
        <v>20.899999999999995</v>
      </c>
      <c r="L18" s="35">
        <v>7</v>
      </c>
      <c r="M18" s="36">
        <f>J18/L18</f>
        <v>11.285999999999998</v>
      </c>
      <c r="N18" s="36">
        <f>M18/$E$4</f>
        <v>2.9857142857142853</v>
      </c>
    </row>
    <row r="19" spans="1:15" ht="13.5">
      <c r="A19" s="49">
        <v>39565</v>
      </c>
      <c r="B19" s="40">
        <v>8</v>
      </c>
      <c r="C19" s="34">
        <v>30</v>
      </c>
      <c r="D19" s="40">
        <v>28</v>
      </c>
      <c r="E19" s="36">
        <f t="shared" si="0"/>
        <v>109.725</v>
      </c>
      <c r="F19" s="36">
        <f t="shared" si="1"/>
        <v>29.02777777777778</v>
      </c>
      <c r="G19" s="36">
        <f>E19-E18</f>
        <v>0</v>
      </c>
      <c r="H19" s="36">
        <f>G19/$E$4</f>
        <v>0</v>
      </c>
      <c r="I19" s="37">
        <v>23</v>
      </c>
      <c r="J19">
        <v>0</v>
      </c>
      <c r="K19">
        <v>0</v>
      </c>
      <c r="L19" s="40">
        <v>7</v>
      </c>
      <c r="M19">
        <v>0</v>
      </c>
      <c r="N19">
        <v>0</v>
      </c>
      <c r="O19" t="s">
        <v>49</v>
      </c>
    </row>
    <row r="20" spans="1:15" ht="13.5">
      <c r="A20" s="49">
        <v>39565</v>
      </c>
      <c r="B20" s="40">
        <v>9</v>
      </c>
      <c r="C20" s="34">
        <v>30</v>
      </c>
      <c r="D20" s="40">
        <v>0</v>
      </c>
      <c r="E20" s="36">
        <f t="shared" si="0"/>
        <v>0</v>
      </c>
      <c r="F20" s="36">
        <f t="shared" si="1"/>
        <v>0</v>
      </c>
      <c r="G20" s="36"/>
      <c r="H20" s="36"/>
      <c r="I20" s="37">
        <v>25</v>
      </c>
      <c r="L20" s="40">
        <v>7</v>
      </c>
      <c r="O20" t="s">
        <v>50</v>
      </c>
    </row>
    <row r="21" spans="1:14" ht="13.5">
      <c r="A21" s="33">
        <v>39566</v>
      </c>
      <c r="B21" s="40">
        <v>7</v>
      </c>
      <c r="C21" s="50">
        <v>40</v>
      </c>
      <c r="D21" s="40">
        <v>11</v>
      </c>
      <c r="E21" s="36">
        <f t="shared" si="0"/>
        <v>43.106249999999996</v>
      </c>
      <c r="F21" s="36">
        <f t="shared" si="1"/>
        <v>11.40376984126984</v>
      </c>
      <c r="G21" s="36">
        <f>E21-E20</f>
        <v>43.106249999999996</v>
      </c>
      <c r="H21" s="36">
        <f>G21/$E$4</f>
        <v>11.40376984126984</v>
      </c>
      <c r="I21" s="40">
        <v>22.2</v>
      </c>
      <c r="J21" s="36">
        <f>(G21/I21)*24</f>
        <v>46.60135135135135</v>
      </c>
      <c r="K21" s="36">
        <f>J21/$E$4</f>
        <v>12.328399828399828</v>
      </c>
      <c r="L21" s="41">
        <v>7</v>
      </c>
      <c r="M21" s="36">
        <f>J21/L21</f>
        <v>6.657335907335907</v>
      </c>
      <c r="N21" s="36">
        <f>M21/$E$4</f>
        <v>1.7611999754856897</v>
      </c>
    </row>
    <row r="22" spans="1:14" ht="13.5">
      <c r="A22" s="33">
        <v>39567</v>
      </c>
      <c r="B22" s="40">
        <v>8</v>
      </c>
      <c r="C22" s="50">
        <v>50</v>
      </c>
      <c r="D22" s="74">
        <v>24</v>
      </c>
      <c r="E22" s="36">
        <f t="shared" si="0"/>
        <v>94.05</v>
      </c>
      <c r="F22" s="36">
        <f t="shared" si="1"/>
        <v>24.880952380952383</v>
      </c>
      <c r="G22" s="36">
        <f>E22-E21</f>
        <v>50.94375</v>
      </c>
      <c r="H22" s="36">
        <f>G22/$E$4</f>
        <v>13.477182539682541</v>
      </c>
      <c r="I22" s="40">
        <v>25</v>
      </c>
      <c r="J22" s="36">
        <f>(G22/I22)*24</f>
        <v>48.906</v>
      </c>
      <c r="K22" s="36">
        <f>J22/$E$4</f>
        <v>12.938095238095238</v>
      </c>
      <c r="L22" s="40">
        <v>8</v>
      </c>
      <c r="M22" s="36">
        <f>J22/L22</f>
        <v>6.11325</v>
      </c>
      <c r="N22" s="36">
        <f>M22/$E$4</f>
        <v>1.6172619047619048</v>
      </c>
    </row>
    <row r="23" spans="1:14" ht="13.5">
      <c r="A23" s="33">
        <v>39568</v>
      </c>
      <c r="B23" s="40">
        <v>9</v>
      </c>
      <c r="C23" s="50">
        <v>12</v>
      </c>
      <c r="D23" s="74">
        <v>32</v>
      </c>
      <c r="E23" s="36">
        <f t="shared" si="0"/>
        <v>125.39999999999999</v>
      </c>
      <c r="F23" s="36">
        <f t="shared" si="1"/>
        <v>33.17460317460318</v>
      </c>
      <c r="G23" s="36">
        <f>E23-E22</f>
        <v>31.349999999999994</v>
      </c>
      <c r="H23" s="36">
        <f>G23/$E$4</f>
        <v>8.293650793650793</v>
      </c>
      <c r="I23" s="40">
        <v>25.25</v>
      </c>
      <c r="J23" s="36">
        <f>(G23/I23)*24</f>
        <v>29.798019801980193</v>
      </c>
      <c r="K23" s="36">
        <f>J23/$E$4</f>
        <v>7.883074021687882</v>
      </c>
      <c r="L23" s="40">
        <v>7</v>
      </c>
      <c r="M23" s="36">
        <f>J23/L23</f>
        <v>4.256859971711456</v>
      </c>
      <c r="N23" s="36">
        <f>M23/$E$4</f>
        <v>1.1261534316696973</v>
      </c>
    </row>
    <row r="24" spans="1:14" ht="13.5">
      <c r="A24" s="33">
        <v>39568</v>
      </c>
      <c r="B24" s="40">
        <v>16</v>
      </c>
      <c r="C24" s="50">
        <v>0</v>
      </c>
      <c r="D24" s="74">
        <v>38</v>
      </c>
      <c r="E24" s="36">
        <f t="shared" si="0"/>
        <v>148.9125</v>
      </c>
      <c r="F24" s="36">
        <f t="shared" si="1"/>
        <v>39.39484126984127</v>
      </c>
      <c r="G24" s="36">
        <f>E24-E23</f>
        <v>23.512500000000003</v>
      </c>
      <c r="H24" s="36">
        <f>G24/$E$4</f>
        <v>6.220238095238097</v>
      </c>
      <c r="I24" s="40">
        <v>8</v>
      </c>
      <c r="J24" s="36">
        <f>(G24/I24)*24</f>
        <v>70.53750000000001</v>
      </c>
      <c r="K24" s="36">
        <f>J24/$E$4</f>
        <v>18.66071428571429</v>
      </c>
      <c r="L24" s="40">
        <v>7</v>
      </c>
      <c r="M24" s="36">
        <f>J24/L24</f>
        <v>10.076785714285716</v>
      </c>
      <c r="N24" s="36">
        <f>M24/$E$4</f>
        <v>2.6658163265306127</v>
      </c>
    </row>
    <row r="25" spans="1:15" ht="13.5">
      <c r="A25" s="33">
        <v>39568</v>
      </c>
      <c r="B25" s="40">
        <v>16</v>
      </c>
      <c r="C25" s="50">
        <v>0</v>
      </c>
      <c r="D25" s="74">
        <v>0</v>
      </c>
      <c r="E25" s="36">
        <f t="shared" si="0"/>
        <v>0</v>
      </c>
      <c r="F25" s="36">
        <f t="shared" si="1"/>
        <v>0</v>
      </c>
      <c r="G25" s="36"/>
      <c r="H25" s="36"/>
      <c r="J25" s="36"/>
      <c r="K25" s="36"/>
      <c r="M25" s="36"/>
      <c r="N25" s="36"/>
      <c r="O25" t="s">
        <v>51</v>
      </c>
    </row>
    <row r="26" spans="1:14" ht="13.5">
      <c r="A26" s="33">
        <v>39569</v>
      </c>
      <c r="B26" s="40">
        <v>7</v>
      </c>
      <c r="C26" s="34">
        <v>30</v>
      </c>
      <c r="D26" s="40">
        <v>8</v>
      </c>
      <c r="E26" s="36">
        <f t="shared" si="0"/>
        <v>31.349999999999998</v>
      </c>
      <c r="F26" s="36">
        <f t="shared" si="1"/>
        <v>8.293650793650794</v>
      </c>
      <c r="G26" s="36">
        <f>E26-E25</f>
        <v>31.349999999999998</v>
      </c>
      <c r="H26" s="36">
        <f>G26/$E$4</f>
        <v>8.293650793650794</v>
      </c>
      <c r="I26" s="40">
        <v>15.5</v>
      </c>
      <c r="J26" s="36">
        <f>(G26/I26)*24</f>
        <v>48.541935483870965</v>
      </c>
      <c r="K26" s="36">
        <f>J26/$E$4</f>
        <v>12.841781874039938</v>
      </c>
      <c r="L26" s="40">
        <v>8</v>
      </c>
      <c r="M26" s="36">
        <f>J26/L26</f>
        <v>6.067741935483871</v>
      </c>
      <c r="N26" s="36">
        <f>M26/$E$4</f>
        <v>1.6052227342549923</v>
      </c>
    </row>
    <row r="27" spans="1:14" ht="13.5">
      <c r="A27" s="33">
        <v>39570</v>
      </c>
      <c r="B27" s="40">
        <v>8</v>
      </c>
      <c r="C27" s="34">
        <v>7</v>
      </c>
      <c r="D27" s="40">
        <v>22</v>
      </c>
      <c r="E27" s="36">
        <f t="shared" si="0"/>
        <v>86.21249999999999</v>
      </c>
      <c r="F27" s="36">
        <f t="shared" si="1"/>
        <v>22.80753968253968</v>
      </c>
      <c r="G27" s="36">
        <f>E27-E26</f>
        <v>54.8625</v>
      </c>
      <c r="H27" s="36">
        <f>G27/$E$4</f>
        <v>14.51388888888889</v>
      </c>
      <c r="I27" s="40">
        <v>24.5</v>
      </c>
      <c r="J27" s="36">
        <f>(G27/I27)*24</f>
        <v>53.74285714285715</v>
      </c>
      <c r="K27" s="36">
        <f>J27/$E$4</f>
        <v>14.217687074829934</v>
      </c>
      <c r="L27" s="40">
        <v>8</v>
      </c>
      <c r="M27" s="36">
        <f>J27/L27</f>
        <v>6.717857142857143</v>
      </c>
      <c r="N27" s="36">
        <f>M27/$E$4</f>
        <v>1.7772108843537417</v>
      </c>
    </row>
    <row r="28" spans="1:14" ht="13.5">
      <c r="A28" s="33">
        <v>39571</v>
      </c>
      <c r="B28" s="40">
        <v>8</v>
      </c>
      <c r="C28" s="34">
        <v>45</v>
      </c>
      <c r="D28" s="40">
        <v>30</v>
      </c>
      <c r="E28" s="36">
        <f t="shared" si="0"/>
        <v>117.56249999999999</v>
      </c>
      <c r="F28" s="36">
        <f t="shared" si="1"/>
        <v>31.101190476190474</v>
      </c>
      <c r="G28" s="36">
        <f>E28-E27</f>
        <v>31.349999999999994</v>
      </c>
      <c r="H28" s="36">
        <f>G28/$E$4</f>
        <v>8.293650793650793</v>
      </c>
      <c r="I28" s="40">
        <v>24</v>
      </c>
      <c r="J28" s="36">
        <f>(G28/I28)*24</f>
        <v>31.349999999999994</v>
      </c>
      <c r="K28" s="36">
        <f>J28/$E$4</f>
        <v>8.293650793650793</v>
      </c>
      <c r="L28" s="40">
        <v>7</v>
      </c>
      <c r="M28" s="36">
        <f>J28/L28</f>
        <v>4.478571428571428</v>
      </c>
      <c r="N28" s="36">
        <f>M28/$E$4</f>
        <v>1.1848072562358276</v>
      </c>
    </row>
    <row r="29" ht="13.5">
      <c r="C29" s="34"/>
    </row>
    <row r="30" spans="1:16" ht="13.5">
      <c r="A30" s="33">
        <v>39579</v>
      </c>
      <c r="B30" s="40">
        <v>16</v>
      </c>
      <c r="C30" s="34">
        <v>0</v>
      </c>
      <c r="D30" s="40">
        <v>0</v>
      </c>
      <c r="E30">
        <v>0</v>
      </c>
      <c r="F30">
        <v>0</v>
      </c>
      <c r="O30" t="s">
        <v>50</v>
      </c>
      <c r="P30" t="s">
        <v>52</v>
      </c>
    </row>
    <row r="31" spans="1:15" ht="13.5">
      <c r="A31" s="33">
        <v>39580</v>
      </c>
      <c r="B31" s="40">
        <v>8</v>
      </c>
      <c r="C31" s="34">
        <v>15</v>
      </c>
      <c r="D31" s="40">
        <v>1</v>
      </c>
      <c r="E31" s="36">
        <f aca="true" t="shared" si="2" ref="E31:E36">D31*$F$4</f>
        <v>3.9187499999999997</v>
      </c>
      <c r="F31" s="36">
        <f aca="true" t="shared" si="3" ref="F31:F36">E31/$E$4</f>
        <v>1.0367063492063493</v>
      </c>
      <c r="G31" s="36">
        <f>E31-E30</f>
        <v>3.9187499999999997</v>
      </c>
      <c r="H31" s="36">
        <f>G31/$E$4</f>
        <v>1.0367063492063493</v>
      </c>
      <c r="I31" s="40">
        <v>12.25</v>
      </c>
      <c r="J31" s="36">
        <f>(G31/I31)*24</f>
        <v>7.677551020408163</v>
      </c>
      <c r="K31" s="36">
        <f>J31/$E$4</f>
        <v>2.0310981535471333</v>
      </c>
      <c r="L31" s="40">
        <v>7</v>
      </c>
      <c r="M31" s="36">
        <f>J31/L31</f>
        <v>1.096793002915452</v>
      </c>
      <c r="N31" s="36">
        <f>M31/$E$4</f>
        <v>0.2901568790781619</v>
      </c>
      <c r="O31" t="s">
        <v>53</v>
      </c>
    </row>
    <row r="32" spans="1:14" ht="13.5">
      <c r="A32" s="33">
        <v>39581</v>
      </c>
      <c r="B32" s="40">
        <v>8</v>
      </c>
      <c r="C32" s="34">
        <v>30</v>
      </c>
      <c r="D32" s="40">
        <v>24</v>
      </c>
      <c r="E32" s="36">
        <f t="shared" si="2"/>
        <v>94.05</v>
      </c>
      <c r="F32" s="36">
        <f t="shared" si="3"/>
        <v>24.880952380952383</v>
      </c>
      <c r="G32" s="36">
        <f>E32-E31</f>
        <v>90.13125</v>
      </c>
      <c r="H32" s="36">
        <f>G32/$E$4</f>
        <v>23.84424603174603</v>
      </c>
      <c r="I32" s="40">
        <v>36.25</v>
      </c>
      <c r="J32" s="36">
        <f>(G32/I32)*24</f>
        <v>59.67310344827586</v>
      </c>
      <c r="K32" s="36">
        <f>J32/$E$4</f>
        <v>15.786535303776683</v>
      </c>
      <c r="L32" s="40">
        <v>9</v>
      </c>
      <c r="M32" s="36">
        <f>J32/L32</f>
        <v>6.630344827586207</v>
      </c>
      <c r="N32" s="36">
        <f>M32/$E$4</f>
        <v>1.7540594781974093</v>
      </c>
    </row>
    <row r="33" spans="1:15" ht="13.5">
      <c r="A33" s="33">
        <v>39581</v>
      </c>
      <c r="B33" s="40">
        <v>19</v>
      </c>
      <c r="C33" s="34">
        <v>0</v>
      </c>
      <c r="D33" s="40">
        <v>0</v>
      </c>
      <c r="E33" s="36">
        <f t="shared" si="2"/>
        <v>0</v>
      </c>
      <c r="F33" s="36">
        <f t="shared" si="3"/>
        <v>0</v>
      </c>
      <c r="G33" s="36"/>
      <c r="H33" s="36"/>
      <c r="J33" s="36"/>
      <c r="K33" s="36"/>
      <c r="M33" s="36"/>
      <c r="N33" s="36"/>
      <c r="O33" t="s">
        <v>54</v>
      </c>
    </row>
    <row r="34" spans="1:14" ht="13.5">
      <c r="A34" s="33">
        <v>39582</v>
      </c>
      <c r="B34" s="40">
        <v>9</v>
      </c>
      <c r="C34" s="40">
        <v>45</v>
      </c>
      <c r="D34" s="40">
        <v>5</v>
      </c>
      <c r="E34" s="36">
        <f t="shared" si="2"/>
        <v>19.59375</v>
      </c>
      <c r="F34" s="36">
        <f t="shared" si="3"/>
        <v>5.183531746031746</v>
      </c>
      <c r="G34" s="36">
        <f>E34-E33</f>
        <v>19.59375</v>
      </c>
      <c r="H34" s="36">
        <f>G34/$E$4</f>
        <v>5.183531746031746</v>
      </c>
      <c r="I34" s="40">
        <v>24</v>
      </c>
      <c r="J34" s="36">
        <f>(G34/I34)*24</f>
        <v>19.59375</v>
      </c>
      <c r="K34" s="36">
        <f>J34/$E$4</f>
        <v>5.183531746031746</v>
      </c>
      <c r="L34" s="40">
        <v>9</v>
      </c>
      <c r="M34" s="36">
        <f>J34/L34</f>
        <v>2.1770833333333335</v>
      </c>
      <c r="N34" s="36">
        <f>M34/$E$4</f>
        <v>0.5759479717813052</v>
      </c>
    </row>
    <row r="35" spans="1:14" ht="13.5">
      <c r="A35" s="33">
        <v>39583</v>
      </c>
      <c r="B35" s="34">
        <v>8</v>
      </c>
      <c r="C35" s="40">
        <v>25</v>
      </c>
      <c r="D35" s="40">
        <v>21</v>
      </c>
      <c r="E35" s="36">
        <f t="shared" si="2"/>
        <v>82.29374999999999</v>
      </c>
      <c r="F35" s="36">
        <f t="shared" si="3"/>
        <v>21.770833333333332</v>
      </c>
      <c r="G35" s="36">
        <f>E35-E34</f>
        <v>62.69999999999999</v>
      </c>
      <c r="H35" s="36">
        <f>G35/$E$4</f>
        <v>16.587301587301585</v>
      </c>
      <c r="I35" s="40">
        <v>23.3</v>
      </c>
      <c r="J35" s="36">
        <f>(G35/I35)*24</f>
        <v>64.58369098712446</v>
      </c>
      <c r="K35" s="36">
        <f>J35/$E$4</f>
        <v>17.08563253627631</v>
      </c>
      <c r="L35" s="40">
        <v>7</v>
      </c>
      <c r="M35" s="36">
        <f>J35/L35</f>
        <v>9.226241569589208</v>
      </c>
      <c r="N35" s="36">
        <f>M35/$E$4</f>
        <v>2.440804648039473</v>
      </c>
    </row>
    <row r="36" spans="1:14" ht="13.5">
      <c r="A36" s="33">
        <v>39584</v>
      </c>
      <c r="B36" s="40">
        <v>8</v>
      </c>
      <c r="C36" s="40">
        <v>20</v>
      </c>
      <c r="D36" s="40">
        <v>29</v>
      </c>
      <c r="E36" s="36">
        <f t="shared" si="2"/>
        <v>113.64375</v>
      </c>
      <c r="F36" s="36">
        <f t="shared" si="3"/>
        <v>30.064484126984127</v>
      </c>
      <c r="G36" s="36">
        <f>E36-E35</f>
        <v>31.35000000000001</v>
      </c>
      <c r="H36" s="36">
        <f>G36/$E$4</f>
        <v>8.293650793650796</v>
      </c>
      <c r="I36" s="40">
        <v>23.57</v>
      </c>
      <c r="J36" s="36">
        <f>(G36/I36)*24</f>
        <v>31.92193466270684</v>
      </c>
      <c r="K36" s="36">
        <f>J36/$E$4</f>
        <v>8.444956259975354</v>
      </c>
      <c r="L36" s="40">
        <v>7</v>
      </c>
      <c r="M36" s="36">
        <f>J36/L36</f>
        <v>4.560276380386691</v>
      </c>
      <c r="N36" s="36">
        <f>M36/$E$4</f>
        <v>1.206422322853622</v>
      </c>
    </row>
    <row r="37" spans="1:15" ht="13.5">
      <c r="A37" s="33">
        <v>36662</v>
      </c>
      <c r="D37" s="40">
        <v>0</v>
      </c>
      <c r="E37" s="36"/>
      <c r="F37" s="36"/>
      <c r="G37" s="36"/>
      <c r="H37" s="36"/>
      <c r="J37" s="36"/>
      <c r="K37" s="36"/>
      <c r="M37" s="36"/>
      <c r="N37" s="36"/>
      <c r="O37" t="s">
        <v>54</v>
      </c>
    </row>
    <row r="38" spans="1:15" ht="13.5">
      <c r="A38" s="33">
        <v>39585</v>
      </c>
      <c r="B38" s="40">
        <v>10</v>
      </c>
      <c r="C38" s="40">
        <v>40</v>
      </c>
      <c r="D38" s="40">
        <v>8</v>
      </c>
      <c r="E38" s="36">
        <f>D38*$F$4</f>
        <v>31.349999999999998</v>
      </c>
      <c r="F38" s="36">
        <f>E38/$E$4</f>
        <v>8.293650793650794</v>
      </c>
      <c r="G38" s="36">
        <f>E38-E37</f>
        <v>31.349999999999998</v>
      </c>
      <c r="H38" s="36">
        <f>G38/$E$4</f>
        <v>8.293650793650794</v>
      </c>
      <c r="I38" s="40">
        <v>24.57</v>
      </c>
      <c r="J38" s="36">
        <f>(G38/I38)*24</f>
        <v>30.62271062271062</v>
      </c>
      <c r="K38" s="36">
        <f>J38/$E$4</f>
        <v>8.101246196484292</v>
      </c>
      <c r="L38" s="40">
        <v>6</v>
      </c>
      <c r="M38" s="36">
        <f>J38/L38</f>
        <v>5.103785103785103</v>
      </c>
      <c r="N38" s="36">
        <f>M38/$E$4</f>
        <v>1.3502076994140486</v>
      </c>
      <c r="O38" t="s">
        <v>49</v>
      </c>
    </row>
    <row r="39" spans="1:15" ht="13.5">
      <c r="A39" s="33">
        <v>39586</v>
      </c>
      <c r="B39" s="40">
        <v>9</v>
      </c>
      <c r="C39" s="40">
        <v>0</v>
      </c>
      <c r="D39" s="40">
        <v>10</v>
      </c>
      <c r="E39" s="36">
        <f>D39*$F$4</f>
        <v>39.1875</v>
      </c>
      <c r="F39" s="36">
        <f>E39/$E$4</f>
        <v>10.367063492063492</v>
      </c>
      <c r="G39" s="36">
        <f>E39-E38</f>
        <v>7.837500000000002</v>
      </c>
      <c r="H39" s="36">
        <f>G39/$E$4</f>
        <v>2.073412698412699</v>
      </c>
      <c r="I39" s="40">
        <v>25.57</v>
      </c>
      <c r="J39" s="36">
        <f>(G39/I39)*24</f>
        <v>7.356276886976928</v>
      </c>
      <c r="K39" s="36">
        <f>J39/$E$4</f>
        <v>1.9461049965547428</v>
      </c>
      <c r="L39" s="40">
        <v>6</v>
      </c>
      <c r="M39" s="36">
        <f>J39/L39</f>
        <v>1.226046147829488</v>
      </c>
      <c r="N39" s="36">
        <f>M39/$E$4</f>
        <v>0.3243508327591238</v>
      </c>
      <c r="O39" t="s">
        <v>49</v>
      </c>
    </row>
    <row r="40" spans="1:13" ht="13.5">
      <c r="A40" s="33">
        <v>39587</v>
      </c>
      <c r="B40" s="40">
        <v>8</v>
      </c>
      <c r="C40" s="40">
        <v>45</v>
      </c>
      <c r="D40" s="40">
        <v>15</v>
      </c>
      <c r="E40" s="36">
        <f>D40*$F$4</f>
        <v>58.78124999999999</v>
      </c>
      <c r="F40" s="36">
        <f>E40/$E$4</f>
        <v>15.550595238095237</v>
      </c>
      <c r="G40" s="36">
        <f>E40-E39</f>
        <v>19.593749999999993</v>
      </c>
      <c r="H40" s="36">
        <f>G40/$E$4</f>
        <v>5.183531746031744</v>
      </c>
      <c r="I40" s="40">
        <v>24.25</v>
      </c>
      <c r="J40" s="36">
        <f>(G40/I40)*24</f>
        <v>19.39175257731958</v>
      </c>
      <c r="K40" s="36">
        <f>J40/$E$4</f>
        <v>5.130093274423169</v>
      </c>
      <c r="L40" s="40">
        <v>7</v>
      </c>
      <c r="M40" s="36">
        <f>J40/L40</f>
        <v>2.770250368188511</v>
      </c>
    </row>
    <row r="41" spans="1:13" ht="13.5">
      <c r="A41" s="33">
        <v>39588</v>
      </c>
      <c r="B41" s="40">
        <v>8</v>
      </c>
      <c r="C41" s="40">
        <v>26</v>
      </c>
      <c r="D41" s="40">
        <v>25</v>
      </c>
      <c r="E41" s="36">
        <f>D41*$F$4</f>
        <v>97.96875</v>
      </c>
      <c r="F41" s="36">
        <f>E41/$E$4</f>
        <v>25.91765873015873</v>
      </c>
      <c r="G41" s="36">
        <f>E41-E40</f>
        <v>39.18750000000001</v>
      </c>
      <c r="H41" s="36">
        <f>G41/$E$4</f>
        <v>10.367063492063494</v>
      </c>
      <c r="I41" s="40">
        <v>11.75</v>
      </c>
      <c r="J41" s="36">
        <f>(G41/I41)*24</f>
        <v>80.04255319148938</v>
      </c>
      <c r="K41" s="36">
        <f>J41/$E$4</f>
        <v>21.175278622087138</v>
      </c>
      <c r="L41" s="40">
        <v>7</v>
      </c>
      <c r="M41" s="36">
        <f>J41/L41</f>
        <v>11.434650455927054</v>
      </c>
    </row>
    <row r="42" spans="1:15" ht="13.5">
      <c r="A42" s="33">
        <v>39588</v>
      </c>
      <c r="B42" s="40">
        <v>11</v>
      </c>
      <c r="C42" s="40">
        <v>22</v>
      </c>
      <c r="D42" s="40">
        <v>28.5</v>
      </c>
      <c r="E42" s="36">
        <f>D42*$F$4</f>
        <v>111.68437499999999</v>
      </c>
      <c r="F42" s="36">
        <f>E42/$E$4</f>
        <v>29.546130952380953</v>
      </c>
      <c r="G42" s="36">
        <f>E42-E41</f>
        <v>13.715624999999989</v>
      </c>
      <c r="H42" s="36">
        <f>G42/$E$4</f>
        <v>3.628472222222219</v>
      </c>
      <c r="L42" s="40">
        <v>7</v>
      </c>
      <c r="O42" t="s">
        <v>55</v>
      </c>
    </row>
    <row r="43" spans="1:15" ht="13.5">
      <c r="A43" s="33">
        <v>39588</v>
      </c>
      <c r="B43" s="40">
        <v>11</v>
      </c>
      <c r="C43" s="40">
        <v>30</v>
      </c>
      <c r="D43" s="40">
        <v>0</v>
      </c>
      <c r="E43" s="36"/>
      <c r="F43" s="36"/>
      <c r="G43" s="36"/>
      <c r="H43" s="36"/>
      <c r="L43" s="40">
        <v>7</v>
      </c>
      <c r="O43" t="s">
        <v>56</v>
      </c>
    </row>
    <row r="44" spans="1:14" ht="13.5">
      <c r="A44" s="33">
        <v>39589</v>
      </c>
      <c r="B44" s="40">
        <v>8</v>
      </c>
      <c r="C44" s="40">
        <v>45</v>
      </c>
      <c r="D44" s="40">
        <v>10</v>
      </c>
      <c r="E44" s="36">
        <f>D44*$F$4</f>
        <v>39.1875</v>
      </c>
      <c r="F44" s="36">
        <f>E44/$E$4</f>
        <v>10.367063492063492</v>
      </c>
      <c r="G44" s="36">
        <f>E44-E43</f>
        <v>39.1875</v>
      </c>
      <c r="H44" s="36">
        <f>G44/$E$4</f>
        <v>10.367063492063492</v>
      </c>
      <c r="I44" s="40">
        <v>21.5</v>
      </c>
      <c r="J44" s="36">
        <f>(G44/I44)*24</f>
        <v>43.74418604651163</v>
      </c>
      <c r="K44" s="36">
        <f>J44/$E$4</f>
        <v>11.572535991140644</v>
      </c>
      <c r="L44" s="40">
        <v>8</v>
      </c>
      <c r="M44" s="36">
        <f>J44/L44</f>
        <v>5.468023255813954</v>
      </c>
      <c r="N44" s="36">
        <f>M44/$E$4</f>
        <v>1.4465669988925804</v>
      </c>
    </row>
    <row r="45" spans="1:14" ht="13.5">
      <c r="A45" s="33">
        <v>39590</v>
      </c>
      <c r="B45" s="40">
        <v>8</v>
      </c>
      <c r="C45" s="40">
        <v>40</v>
      </c>
      <c r="D45" s="40">
        <v>20</v>
      </c>
      <c r="E45" s="36">
        <f>D45*$F$4</f>
        <v>78.375</v>
      </c>
      <c r="F45" s="36">
        <f>E45/$E$4</f>
        <v>20.734126984126984</v>
      </c>
      <c r="G45" s="36">
        <f>E45-E44</f>
        <v>39.1875</v>
      </c>
      <c r="H45" s="36">
        <f>G45/$E$4</f>
        <v>10.367063492063492</v>
      </c>
      <c r="I45" s="40">
        <v>24</v>
      </c>
      <c r="J45" s="36">
        <f>(G45/I45)*24</f>
        <v>39.1875</v>
      </c>
      <c r="K45" s="36">
        <f>J45/$E$4</f>
        <v>10.367063492063492</v>
      </c>
      <c r="L45" s="40">
        <v>9</v>
      </c>
      <c r="M45" s="36">
        <f>J45/L45</f>
        <v>4.354166666666667</v>
      </c>
      <c r="N45" s="36">
        <f>M45/$E$4</f>
        <v>1.1518959435626104</v>
      </c>
    </row>
    <row r="46" spans="1:14" ht="13.5">
      <c r="A46" s="33">
        <v>39591</v>
      </c>
      <c r="B46" s="40">
        <v>8</v>
      </c>
      <c r="C46" s="40">
        <v>45</v>
      </c>
      <c r="D46" s="40">
        <v>33</v>
      </c>
      <c r="E46" s="36">
        <f>D46*$F$4</f>
        <v>129.31875</v>
      </c>
      <c r="F46" s="36">
        <f>E46/$E$4</f>
        <v>34.211309523809526</v>
      </c>
      <c r="G46" s="36">
        <f>E46-E45</f>
        <v>50.943749999999994</v>
      </c>
      <c r="H46" s="36">
        <f>G46/$E$4</f>
        <v>13.47718253968254</v>
      </c>
      <c r="I46" s="40">
        <v>24</v>
      </c>
      <c r="J46" s="36">
        <f>(G46/I46)*24</f>
        <v>50.943749999999994</v>
      </c>
      <c r="K46" s="36">
        <f>J46/$E$4</f>
        <v>13.47718253968254</v>
      </c>
      <c r="L46" s="40">
        <v>9</v>
      </c>
      <c r="M46" s="36">
        <f>J46/L46</f>
        <v>5.660416666666666</v>
      </c>
      <c r="N46" s="36">
        <f>M46/$E$4</f>
        <v>1.4974647266313934</v>
      </c>
    </row>
    <row r="47" spans="1:15" ht="13.5">
      <c r="A47" s="33">
        <v>39592</v>
      </c>
      <c r="B47" s="40">
        <v>8</v>
      </c>
      <c r="C47" s="40">
        <v>35</v>
      </c>
      <c r="D47" s="40">
        <v>39.5</v>
      </c>
      <c r="E47" s="36">
        <f>D47*$F$4</f>
        <v>154.79062499999998</v>
      </c>
      <c r="F47" s="36">
        <f>E47/$E$4</f>
        <v>40.94990079365079</v>
      </c>
      <c r="G47" s="36">
        <f>E47-E46</f>
        <v>25.471874999999983</v>
      </c>
      <c r="H47" s="36">
        <f>G47/$E$4</f>
        <v>6.738591269841265</v>
      </c>
      <c r="I47" s="40">
        <v>24</v>
      </c>
      <c r="J47" s="36">
        <f>(G47/I47)*24</f>
        <v>25.471874999999983</v>
      </c>
      <c r="K47" s="36">
        <f>J47/$E$4</f>
        <v>6.738591269841265</v>
      </c>
      <c r="L47" s="40">
        <v>9</v>
      </c>
      <c r="M47" s="36">
        <f>J47/L47</f>
        <v>2.8302083333333314</v>
      </c>
      <c r="N47" s="36">
        <f>M47/$E$4</f>
        <v>0.7487323633156961</v>
      </c>
      <c r="O47" t="s">
        <v>57</v>
      </c>
    </row>
    <row r="48" spans="1:14" ht="13.5">
      <c r="A48" s="33">
        <v>39592</v>
      </c>
      <c r="B48" s="40">
        <v>8</v>
      </c>
      <c r="C48" s="40">
        <v>35</v>
      </c>
      <c r="D48" s="40">
        <v>0</v>
      </c>
      <c r="E48" s="36"/>
      <c r="F48" s="36"/>
      <c r="G48" s="36"/>
      <c r="H48" s="36"/>
      <c r="J48" s="36"/>
      <c r="K48" s="36"/>
      <c r="M48" s="36"/>
      <c r="N48" s="36"/>
    </row>
    <row r="49" spans="1:15" ht="13.5">
      <c r="A49" s="33">
        <v>39593</v>
      </c>
      <c r="B49" s="40">
        <v>10</v>
      </c>
      <c r="C49" s="40">
        <v>20</v>
      </c>
      <c r="D49" s="40">
        <v>3</v>
      </c>
      <c r="E49" s="36">
        <f>D49*$F$4</f>
        <v>11.75625</v>
      </c>
      <c r="F49" s="36">
        <f>E49/$E$4</f>
        <v>3.110119047619048</v>
      </c>
      <c r="G49" s="36">
        <f>E49-E48</f>
        <v>11.75625</v>
      </c>
      <c r="H49" s="36">
        <f>G49/$E$4</f>
        <v>3.110119047619048</v>
      </c>
      <c r="I49" s="40">
        <v>26</v>
      </c>
      <c r="J49" s="36">
        <f>(G49/I49)*24</f>
        <v>10.851923076923077</v>
      </c>
      <c r="K49" s="36">
        <f>J49/$E$4</f>
        <v>2.870879120879121</v>
      </c>
      <c r="L49" s="40">
        <v>6</v>
      </c>
      <c r="M49" s="36">
        <f>J49/L49</f>
        <v>1.8086538461538462</v>
      </c>
      <c r="N49" s="36">
        <f>M49/$E$4</f>
        <v>0.4784798534798535</v>
      </c>
      <c r="O49" t="s">
        <v>49</v>
      </c>
    </row>
    <row r="50" spans="1:14" ht="13.5">
      <c r="A50" s="73">
        <v>39594</v>
      </c>
      <c r="B50" s="40">
        <v>8</v>
      </c>
      <c r="C50" s="40">
        <v>0</v>
      </c>
      <c r="D50" s="40">
        <v>12</v>
      </c>
      <c r="E50" s="36">
        <f>D50*$F$4</f>
        <v>47.025</v>
      </c>
      <c r="F50" s="36">
        <f>E50/$E$4</f>
        <v>12.440476190476192</v>
      </c>
      <c r="G50" s="36">
        <f>E50-E49</f>
        <v>35.26875</v>
      </c>
      <c r="H50" s="36">
        <f>G50/$E$4</f>
        <v>9.330357142857142</v>
      </c>
      <c r="I50" s="40">
        <v>21.5</v>
      </c>
      <c r="J50" s="36">
        <f>(G50/I50)*24</f>
        <v>39.36976744186046</v>
      </c>
      <c r="K50" s="36">
        <f>J50/$E$4</f>
        <v>10.415282392026578</v>
      </c>
      <c r="L50" s="40">
        <v>7</v>
      </c>
      <c r="M50" s="36">
        <f>J50/L50</f>
        <v>5.624252491694351</v>
      </c>
      <c r="N50" s="36">
        <f>M50/$E$4</f>
        <v>1.4878974845752253</v>
      </c>
    </row>
    <row r="51" spans="1:15" ht="13.5">
      <c r="A51" s="33">
        <v>39595</v>
      </c>
      <c r="B51" s="40">
        <v>8</v>
      </c>
      <c r="C51" s="40">
        <v>27</v>
      </c>
      <c r="D51" s="40">
        <v>22</v>
      </c>
      <c r="E51" s="36">
        <f>D51*$F$4</f>
        <v>86.21249999999999</v>
      </c>
      <c r="F51" s="36">
        <f>E51/$E$4</f>
        <v>22.80753968253968</v>
      </c>
      <c r="G51" s="36">
        <f>E51-E50</f>
        <v>39.18749999999999</v>
      </c>
      <c r="H51" s="36">
        <f>G51/$E$4</f>
        <v>10.36706349206349</v>
      </c>
      <c r="I51" s="40">
        <v>24.5</v>
      </c>
      <c r="J51" s="36">
        <f>(G51/I51)*24</f>
        <v>38.38775510204081</v>
      </c>
      <c r="K51" s="36">
        <f>J51/$E$4</f>
        <v>10.155490767735666</v>
      </c>
      <c r="L51" s="40">
        <v>7</v>
      </c>
      <c r="M51" s="36">
        <f>J51/L51</f>
        <v>5.483965014577259</v>
      </c>
      <c r="N51" s="36">
        <f>M51/$E$4</f>
        <v>1.4507843953908093</v>
      </c>
      <c r="O51" t="s">
        <v>55</v>
      </c>
    </row>
    <row r="52" spans="1:15" ht="13.5">
      <c r="A52" s="33">
        <v>39595</v>
      </c>
      <c r="B52" s="40">
        <v>17</v>
      </c>
      <c r="C52" s="40">
        <v>40</v>
      </c>
      <c r="D52" s="40">
        <v>29</v>
      </c>
      <c r="E52" s="36">
        <f>D52*$F$4</f>
        <v>113.64375</v>
      </c>
      <c r="F52" s="36">
        <f>E52/$E$4</f>
        <v>30.064484126984127</v>
      </c>
      <c r="G52" s="36">
        <f>E52-E51</f>
        <v>27.431250000000006</v>
      </c>
      <c r="H52" s="36">
        <f>G52/$E$4</f>
        <v>7.256944444444446</v>
      </c>
      <c r="I52" s="40">
        <v>9</v>
      </c>
      <c r="J52" s="36">
        <f>(G52/I52)*24</f>
        <v>73.15000000000002</v>
      </c>
      <c r="K52" s="36">
        <f>J52/$E$4</f>
        <v>19.35185185185186</v>
      </c>
      <c r="L52" s="40">
        <v>7</v>
      </c>
      <c r="M52" s="36">
        <f>J52/L52</f>
        <v>10.450000000000003</v>
      </c>
      <c r="N52" s="36">
        <f>M52/$E$4</f>
        <v>2.7645502645502655</v>
      </c>
      <c r="O52" t="s">
        <v>56</v>
      </c>
    </row>
    <row r="53" spans="1:12" ht="13.5">
      <c r="A53" s="33">
        <v>39595</v>
      </c>
      <c r="B53" s="40">
        <v>18</v>
      </c>
      <c r="C53" s="40">
        <v>0</v>
      </c>
      <c r="D53" s="40">
        <v>0</v>
      </c>
      <c r="L53" s="40">
        <v>7</v>
      </c>
    </row>
    <row r="54" spans="1:14" ht="13.5">
      <c r="A54" s="73">
        <v>39596</v>
      </c>
      <c r="B54" s="40">
        <v>8</v>
      </c>
      <c r="C54" s="40">
        <v>45</v>
      </c>
      <c r="D54" s="40">
        <v>4</v>
      </c>
      <c r="E54" s="36">
        <f>D54*$F$4</f>
        <v>15.674999999999999</v>
      </c>
      <c r="F54" s="36">
        <f>E54/$E$4</f>
        <v>4.146825396825397</v>
      </c>
      <c r="G54" s="36">
        <f>E54-E53</f>
        <v>15.674999999999999</v>
      </c>
      <c r="H54" s="36">
        <f>G54/$E$4</f>
        <v>4.146825396825397</v>
      </c>
      <c r="I54" s="40">
        <v>8</v>
      </c>
      <c r="J54" s="36">
        <f>(G54/I54)*24</f>
        <v>47.025</v>
      </c>
      <c r="K54" s="36">
        <f>J54/$E$4</f>
        <v>12.440476190476192</v>
      </c>
      <c r="L54" s="40">
        <v>7</v>
      </c>
      <c r="M54" s="36">
        <f>J54/L54</f>
        <v>6.7178571428571425</v>
      </c>
      <c r="N54" s="36">
        <f>M54/$E$4</f>
        <v>1.7772108843537415</v>
      </c>
    </row>
    <row r="55" spans="1:14" ht="13.5">
      <c r="A55" s="73">
        <v>39597</v>
      </c>
      <c r="B55" s="40">
        <v>8</v>
      </c>
      <c r="C55" s="40">
        <v>20</v>
      </c>
      <c r="D55" s="40">
        <v>20</v>
      </c>
      <c r="E55" s="36">
        <f>D55*$F$4</f>
        <v>78.375</v>
      </c>
      <c r="F55" s="36">
        <f>E55/$E$4</f>
        <v>20.734126984126984</v>
      </c>
      <c r="G55" s="36">
        <f>E55-E54</f>
        <v>62.7</v>
      </c>
      <c r="H55" s="36">
        <f>G55/$E$4</f>
        <v>16.58730158730159</v>
      </c>
      <c r="I55" s="40">
        <v>24</v>
      </c>
      <c r="J55" s="36">
        <f>(G55/I55)*24</f>
        <v>62.7</v>
      </c>
      <c r="K55" s="36">
        <f>J55/$E$4</f>
        <v>16.58730158730159</v>
      </c>
      <c r="L55" s="40">
        <v>7</v>
      </c>
      <c r="M55" s="36">
        <f>J55/L55</f>
        <v>8.957142857142857</v>
      </c>
      <c r="N55" s="36">
        <f>M55/$E$4</f>
        <v>2.3696145124716557</v>
      </c>
    </row>
    <row r="56" spans="1:14" ht="13.5">
      <c r="A56" s="73">
        <v>39598</v>
      </c>
      <c r="B56" s="40">
        <v>8</v>
      </c>
      <c r="C56" s="40">
        <v>50</v>
      </c>
      <c r="D56" s="40">
        <v>25</v>
      </c>
      <c r="E56" s="36">
        <f>D56*$F$4</f>
        <v>97.96875</v>
      </c>
      <c r="F56" s="36">
        <f>E56/$E$4</f>
        <v>25.91765873015873</v>
      </c>
      <c r="G56" s="36">
        <f>E56-E55</f>
        <v>19.59375</v>
      </c>
      <c r="H56" s="36">
        <f>G56/$E$4</f>
        <v>5.183531746031746</v>
      </c>
      <c r="I56" s="40">
        <v>24</v>
      </c>
      <c r="J56" s="36">
        <f>(G56/I56)*24</f>
        <v>19.59375</v>
      </c>
      <c r="K56" s="36">
        <f>J56/$E$4</f>
        <v>5.183531746031746</v>
      </c>
      <c r="L56" s="40">
        <v>7</v>
      </c>
      <c r="M56" s="36">
        <f>J56/L56</f>
        <v>2.799107142857143</v>
      </c>
      <c r="N56" s="36">
        <f>M56/$E$4</f>
        <v>0.7405045351473923</v>
      </c>
    </row>
    <row r="57" spans="1:15" ht="13.5">
      <c r="A57" s="73">
        <v>39598</v>
      </c>
      <c r="B57" s="40">
        <v>8</v>
      </c>
      <c r="C57" s="40">
        <v>50</v>
      </c>
      <c r="D57" s="40">
        <v>0</v>
      </c>
      <c r="L57" s="40">
        <v>7</v>
      </c>
      <c r="O57" t="s">
        <v>142</v>
      </c>
    </row>
    <row r="58" spans="1:14" ht="13.5">
      <c r="A58" s="73">
        <v>39599</v>
      </c>
      <c r="B58" s="40">
        <v>15</v>
      </c>
      <c r="C58" s="40">
        <v>0</v>
      </c>
      <c r="D58" s="40">
        <v>13</v>
      </c>
      <c r="E58" s="36">
        <f>D58*$F$4</f>
        <v>50.943749999999994</v>
      </c>
      <c r="F58" s="36">
        <f>E58/$E$4</f>
        <v>13.47718253968254</v>
      </c>
      <c r="G58" s="36">
        <f>E58-E57</f>
        <v>50.943749999999994</v>
      </c>
      <c r="H58" s="36">
        <f>G58/$E$4</f>
        <v>13.47718253968254</v>
      </c>
      <c r="I58" s="40">
        <v>30</v>
      </c>
      <c r="J58" s="36">
        <f>(G58/I58)*24</f>
        <v>40.754999999999995</v>
      </c>
      <c r="K58" s="36">
        <f>J58/$E$4</f>
        <v>10.781746031746032</v>
      </c>
      <c r="L58" s="40">
        <v>7</v>
      </c>
      <c r="M58" s="36">
        <f>J58/L58</f>
        <v>5.822142857142857</v>
      </c>
      <c r="N58" s="36">
        <f>M58/$E$4</f>
        <v>1.540249433106576</v>
      </c>
    </row>
    <row r="59" spans="1:14" ht="13.5">
      <c r="A59" s="73">
        <v>39600</v>
      </c>
      <c r="B59" s="40">
        <v>10</v>
      </c>
      <c r="C59" s="40">
        <v>0</v>
      </c>
      <c r="D59" s="40">
        <v>20</v>
      </c>
      <c r="E59" s="36">
        <f>D59*$F$4</f>
        <v>78.375</v>
      </c>
      <c r="F59" s="36">
        <f>E59/$E$4</f>
        <v>20.734126984126984</v>
      </c>
      <c r="G59" s="36">
        <f>E59-E58</f>
        <v>27.431250000000006</v>
      </c>
      <c r="H59" s="36">
        <f>G59/$E$4</f>
        <v>7.256944444444446</v>
      </c>
      <c r="I59" s="40">
        <v>19</v>
      </c>
      <c r="J59" s="36">
        <f>(G59/I59)*24</f>
        <v>34.650000000000006</v>
      </c>
      <c r="K59" s="36">
        <f>J59/$E$4</f>
        <v>9.166666666666668</v>
      </c>
      <c r="L59" s="40">
        <v>7</v>
      </c>
      <c r="M59" s="36">
        <f>J59/L59</f>
        <v>4.950000000000001</v>
      </c>
      <c r="N59" s="36">
        <f>M59/$E$4</f>
        <v>1.30952380952381</v>
      </c>
    </row>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IV45"/>
  <sheetViews>
    <sheetView tabSelected="1" workbookViewId="0" topLeftCell="A1">
      <pane ySplit="10" topLeftCell="BM23" activePane="bottomLeft" state="frozen"/>
      <selection pane="topLeft" activeCell="A1" sqref="A1"/>
      <selection pane="bottomLeft" activeCell="D45" sqref="C45:E45"/>
    </sheetView>
  </sheetViews>
  <sheetFormatPr defaultColWidth="9.140625" defaultRowHeight="15"/>
  <cols>
    <col min="1" max="1" width="10.57421875" style="51" customWidth="1"/>
    <col min="2" max="2" width="11.7109375" style="51" customWidth="1"/>
    <col min="3" max="4" width="8.57421875" style="0" customWidth="1"/>
    <col min="5" max="6" width="11.140625" style="0" customWidth="1"/>
    <col min="7" max="8" width="11.28125" style="0" customWidth="1"/>
    <col min="9" max="11" width="10.7109375" style="0" customWidth="1"/>
    <col min="12" max="12" width="11.8515625" style="0" customWidth="1"/>
    <col min="13" max="14" width="18.421875" style="0" customWidth="1"/>
    <col min="15" max="16384" width="8.7109375" style="0" customWidth="1"/>
  </cols>
  <sheetData>
    <row r="1" ht="13.5">
      <c r="A1" s="52" t="s">
        <v>58</v>
      </c>
    </row>
    <row r="2" ht="13.5">
      <c r="A2" s="52"/>
    </row>
    <row r="3" ht="13.5">
      <c r="A3" s="52" t="s">
        <v>59</v>
      </c>
    </row>
    <row r="4" spans="1:3" ht="13.5">
      <c r="A4" s="53" t="s">
        <v>60</v>
      </c>
      <c r="B4" s="54">
        <v>48</v>
      </c>
      <c r="C4" t="s">
        <v>61</v>
      </c>
    </row>
    <row r="5" spans="1:3" ht="13.5">
      <c r="A5" s="53" t="s">
        <v>62</v>
      </c>
      <c r="B5" s="54">
        <v>1.1</v>
      </c>
      <c r="C5" t="s">
        <v>63</v>
      </c>
    </row>
    <row r="6" ht="13.5">
      <c r="A6" s="52"/>
    </row>
    <row r="7" ht="13.5">
      <c r="A7" s="52"/>
    </row>
    <row r="8" spans="1:13" ht="13.5">
      <c r="A8" s="55"/>
      <c r="C8" s="25"/>
      <c r="D8" s="25"/>
      <c r="E8" s="56" t="s">
        <v>64</v>
      </c>
      <c r="F8" s="25"/>
      <c r="G8" s="1" t="s">
        <v>65</v>
      </c>
      <c r="K8" s="25"/>
      <c r="L8" s="25"/>
      <c r="M8" s="25"/>
    </row>
    <row r="9" spans="1:256" s="1" customFormat="1" ht="27">
      <c r="A9" s="52" t="s">
        <v>17</v>
      </c>
      <c r="B9" s="52" t="s">
        <v>18</v>
      </c>
      <c r="C9" s="56" t="s">
        <v>66</v>
      </c>
      <c r="D9" s="56"/>
      <c r="E9" s="56" t="s">
        <v>67</v>
      </c>
      <c r="F9" s="56" t="s">
        <v>68</v>
      </c>
      <c r="G9" s="29" t="s">
        <v>69</v>
      </c>
      <c r="H9" s="29" t="s">
        <v>70</v>
      </c>
      <c r="I9" s="29" t="s">
        <v>69</v>
      </c>
      <c r="J9" s="29" t="s">
        <v>70</v>
      </c>
      <c r="K9" s="56" t="s">
        <v>71</v>
      </c>
      <c r="L9" s="79" t="s">
        <v>144</v>
      </c>
      <c r="M9" s="56" t="s">
        <v>72</v>
      </c>
      <c r="N9" s="1" t="s">
        <v>27</v>
      </c>
      <c r="IV9"/>
    </row>
    <row r="10" spans="1:256" s="1" customFormat="1" ht="13.5">
      <c r="A10" s="52"/>
      <c r="B10" s="52"/>
      <c r="C10" s="57" t="s">
        <v>73</v>
      </c>
      <c r="D10" s="57" t="s">
        <v>29</v>
      </c>
      <c r="E10" s="31" t="s">
        <v>74</v>
      </c>
      <c r="F10" s="31" t="s">
        <v>74</v>
      </c>
      <c r="G10" s="31" t="s">
        <v>75</v>
      </c>
      <c r="H10" s="31" t="s">
        <v>75</v>
      </c>
      <c r="I10" s="31" t="s">
        <v>74</v>
      </c>
      <c r="J10" s="31" t="s">
        <v>74</v>
      </c>
      <c r="K10" s="56" t="s">
        <v>76</v>
      </c>
      <c r="L10" s="57" t="s">
        <v>77</v>
      </c>
      <c r="M10" s="57" t="s">
        <v>77</v>
      </c>
      <c r="IV10"/>
    </row>
    <row r="11" spans="1:13" ht="13.5">
      <c r="A11" s="58">
        <v>39559</v>
      </c>
      <c r="B11" s="59">
        <v>0.3645833333333333</v>
      </c>
      <c r="C11" s="25">
        <v>412</v>
      </c>
      <c r="D11" s="25">
        <v>25</v>
      </c>
      <c r="E11" s="25">
        <v>-0.03</v>
      </c>
      <c r="F11" s="25">
        <v>0</v>
      </c>
      <c r="G11" s="25">
        <v>15</v>
      </c>
      <c r="H11" s="25"/>
      <c r="I11" s="25"/>
      <c r="J11" s="25"/>
      <c r="K11" s="25"/>
      <c r="L11" s="25"/>
      <c r="M11" s="25"/>
    </row>
    <row r="12" spans="1:13" ht="13.5">
      <c r="A12" s="58">
        <v>39560</v>
      </c>
      <c r="B12" s="59">
        <v>0.36875</v>
      </c>
      <c r="C12">
        <v>413</v>
      </c>
      <c r="D12">
        <v>35</v>
      </c>
      <c r="E12">
        <v>-4.64</v>
      </c>
      <c r="F12">
        <v>-0.96</v>
      </c>
      <c r="G12">
        <v>112.6</v>
      </c>
      <c r="L12" s="76">
        <f aca="true" t="shared" si="0" ref="L12:L20">IF(D12&gt;=D11,((C12-C11)+(D12-D11)/60)*1.1,((C12-C11-1)+(60-D12)/60)*1.1)</f>
        <v>1.2833333333333334</v>
      </c>
      <c r="M12" s="76">
        <f>L12</f>
        <v>1.2833333333333334</v>
      </c>
    </row>
    <row r="13" spans="1:14" ht="13.5">
      <c r="A13" s="58">
        <v>39561</v>
      </c>
      <c r="B13" s="59">
        <v>0.3645833333333333</v>
      </c>
      <c r="C13">
        <v>416</v>
      </c>
      <c r="D13">
        <v>2</v>
      </c>
      <c r="E13">
        <v>-13.04</v>
      </c>
      <c r="F13">
        <v>-5.93</v>
      </c>
      <c r="G13">
        <v>281.3</v>
      </c>
      <c r="H13">
        <v>57.5</v>
      </c>
      <c r="K13" t="s">
        <v>78</v>
      </c>
      <c r="L13" s="76">
        <f t="shared" si="0"/>
        <v>3.2633333333333336</v>
      </c>
      <c r="M13" s="76">
        <f aca="true" t="shared" si="1" ref="M13:M21">M12+L13</f>
        <v>4.546666666666667</v>
      </c>
      <c r="N13" t="s">
        <v>79</v>
      </c>
    </row>
    <row r="14" spans="1:13" ht="13.5">
      <c r="A14" s="60">
        <v>39562</v>
      </c>
      <c r="B14" s="59">
        <v>0.3645833333333333</v>
      </c>
      <c r="C14">
        <v>418</v>
      </c>
      <c r="D14">
        <v>33</v>
      </c>
      <c r="E14">
        <v>-20.2</v>
      </c>
      <c r="F14">
        <v>-10.22</v>
      </c>
      <c r="G14">
        <v>433.9</v>
      </c>
      <c r="H14">
        <v>40</v>
      </c>
      <c r="L14" s="76">
        <f t="shared" si="0"/>
        <v>2.7683333333333335</v>
      </c>
      <c r="M14" s="76">
        <f t="shared" si="1"/>
        <v>7.315</v>
      </c>
    </row>
    <row r="15" spans="1:14" ht="13.5">
      <c r="A15" s="60">
        <v>39563</v>
      </c>
      <c r="B15" s="61">
        <v>0.35416666666666663</v>
      </c>
      <c r="C15">
        <v>423</v>
      </c>
      <c r="D15">
        <v>17</v>
      </c>
      <c r="E15">
        <v>-38.6</v>
      </c>
      <c r="F15">
        <v>-26.8</v>
      </c>
      <c r="G15">
        <v>730.1</v>
      </c>
      <c r="K15" t="s">
        <v>80</v>
      </c>
      <c r="L15" s="76">
        <f t="shared" si="0"/>
        <v>5.1883333333333335</v>
      </c>
      <c r="M15" s="76">
        <f t="shared" si="1"/>
        <v>12.503333333333334</v>
      </c>
      <c r="N15" t="s">
        <v>81</v>
      </c>
    </row>
    <row r="16" spans="1:13" ht="13.5">
      <c r="A16" s="60">
        <v>39565</v>
      </c>
      <c r="B16" s="61">
        <v>0.35416666666666663</v>
      </c>
      <c r="C16">
        <v>429</v>
      </c>
      <c r="D16">
        <v>48</v>
      </c>
      <c r="E16">
        <v>-67.9</v>
      </c>
      <c r="F16">
        <v>-50.1</v>
      </c>
      <c r="G16">
        <v>916.7</v>
      </c>
      <c r="H16">
        <v>10.1</v>
      </c>
      <c r="K16" t="s">
        <v>82</v>
      </c>
      <c r="L16" s="76">
        <f t="shared" si="0"/>
        <v>7.168333333333334</v>
      </c>
      <c r="M16" s="76">
        <f t="shared" si="1"/>
        <v>19.671666666666667</v>
      </c>
    </row>
    <row r="17" spans="1:13" ht="13.5">
      <c r="A17" s="60">
        <v>39566</v>
      </c>
      <c r="B17" s="61">
        <v>0.3194444444444444</v>
      </c>
      <c r="C17">
        <v>436</v>
      </c>
      <c r="D17">
        <v>32</v>
      </c>
      <c r="E17">
        <v>-100.88</v>
      </c>
      <c r="F17">
        <v>-81.5</v>
      </c>
      <c r="G17">
        <v>1061.4</v>
      </c>
      <c r="H17">
        <v>44.1</v>
      </c>
      <c r="I17">
        <v>-32</v>
      </c>
      <c r="K17" t="s">
        <v>80</v>
      </c>
      <c r="L17" s="76">
        <f t="shared" si="0"/>
        <v>7.113333333333334</v>
      </c>
      <c r="M17" s="76">
        <f t="shared" si="1"/>
        <v>26.785</v>
      </c>
    </row>
    <row r="18" spans="1:13" ht="13.5">
      <c r="A18" s="60">
        <v>39567</v>
      </c>
      <c r="B18" s="61">
        <v>0.375</v>
      </c>
      <c r="C18">
        <v>442</v>
      </c>
      <c r="D18">
        <v>8</v>
      </c>
      <c r="E18">
        <v>-27.8</v>
      </c>
      <c r="F18">
        <v>-4.52</v>
      </c>
      <c r="G18">
        <v>1265.1</v>
      </c>
      <c r="H18">
        <v>55</v>
      </c>
      <c r="K18" s="62"/>
      <c r="L18" s="76">
        <f t="shared" si="0"/>
        <v>6.453333333333334</v>
      </c>
      <c r="M18" s="76">
        <f t="shared" si="1"/>
        <v>33.23833333333334</v>
      </c>
    </row>
    <row r="19" spans="1:13" ht="13.5">
      <c r="A19" s="60">
        <v>39569</v>
      </c>
      <c r="B19" s="61">
        <v>0.3125</v>
      </c>
      <c r="C19">
        <v>447</v>
      </c>
      <c r="D19">
        <v>30</v>
      </c>
      <c r="E19">
        <v>-50</v>
      </c>
      <c r="F19">
        <v>-21.4</v>
      </c>
      <c r="G19">
        <v>1469.4</v>
      </c>
      <c r="H19" t="s">
        <v>83</v>
      </c>
      <c r="K19" s="21" t="s">
        <v>84</v>
      </c>
      <c r="L19" s="76">
        <f t="shared" si="0"/>
        <v>5.903333333333333</v>
      </c>
      <c r="M19" s="76">
        <f t="shared" si="1"/>
        <v>39.14166666666667</v>
      </c>
    </row>
    <row r="20" spans="1:13" ht="13.5">
      <c r="A20" s="60">
        <v>39570</v>
      </c>
      <c r="B20" s="61">
        <v>0.3381944444444444</v>
      </c>
      <c r="C20">
        <v>447</v>
      </c>
      <c r="D20">
        <v>30</v>
      </c>
      <c r="E20">
        <v>-63.5</v>
      </c>
      <c r="F20">
        <v>-25.7</v>
      </c>
      <c r="G20">
        <v>19955.3</v>
      </c>
      <c r="K20" t="s">
        <v>85</v>
      </c>
      <c r="L20" s="76">
        <f t="shared" si="0"/>
        <v>0</v>
      </c>
      <c r="M20" s="76">
        <f t="shared" si="1"/>
        <v>39.14166666666667</v>
      </c>
    </row>
    <row r="21" spans="1:13" ht="13.5">
      <c r="A21" s="60">
        <v>39571</v>
      </c>
      <c r="B21" s="61">
        <v>0.3645833333333333</v>
      </c>
      <c r="C21">
        <v>449</v>
      </c>
      <c r="D21">
        <v>5</v>
      </c>
      <c r="E21">
        <v>-63.8</v>
      </c>
      <c r="F21">
        <v>-25.5</v>
      </c>
      <c r="G21">
        <v>1701</v>
      </c>
      <c r="H21">
        <v>24.3</v>
      </c>
      <c r="I21">
        <v>-90</v>
      </c>
      <c r="J21">
        <v>24.3</v>
      </c>
      <c r="K21" s="38">
        <v>0.5</v>
      </c>
      <c r="L21" s="76">
        <f>IF(D21&gt;=D20,((C21-C20)+(D21-D20)/60)*$B$5,((C21-C20-1)+(60-D21)/60)*$B$5)</f>
        <v>2.1083333333333334</v>
      </c>
      <c r="M21" s="76">
        <f t="shared" si="1"/>
        <v>41.25000000000001</v>
      </c>
    </row>
    <row r="22" spans="4:13" ht="13.5">
      <c r="D22" s="38"/>
      <c r="L22" s="76"/>
      <c r="M22" s="76"/>
    </row>
    <row r="23" spans="3:13" ht="13.5">
      <c r="C23">
        <v>0</v>
      </c>
      <c r="D23">
        <v>0</v>
      </c>
      <c r="K23" s="62"/>
      <c r="L23" s="76"/>
      <c r="M23" s="76">
        <f>M21</f>
        <v>41.25000000000001</v>
      </c>
    </row>
    <row r="24" spans="1:14" ht="13.5">
      <c r="A24" s="60">
        <v>39580</v>
      </c>
      <c r="B24" s="61">
        <v>0.34375</v>
      </c>
      <c r="C24">
        <v>7</v>
      </c>
      <c r="D24">
        <v>23</v>
      </c>
      <c r="E24">
        <v>0</v>
      </c>
      <c r="F24">
        <v>0</v>
      </c>
      <c r="G24">
        <v>2351.8</v>
      </c>
      <c r="H24">
        <v>19.2</v>
      </c>
      <c r="K24" t="s">
        <v>80</v>
      </c>
      <c r="L24" s="76">
        <f>IF(D24&gt;=D23,((C24-C23)+(D24-D23)/60)*$B$5,((C24-C23-1)+(60-D24)/60)*$B$5)</f>
        <v>8.121666666666668</v>
      </c>
      <c r="M24" s="76">
        <f aca="true" t="shared" si="2" ref="M24:M32">M23+L24</f>
        <v>49.37166666666668</v>
      </c>
      <c r="N24" t="s">
        <v>86</v>
      </c>
    </row>
    <row r="25" spans="1:13" ht="13.5">
      <c r="A25" s="60">
        <v>39581</v>
      </c>
      <c r="B25" s="61">
        <v>0.3506944444444444</v>
      </c>
      <c r="C25">
        <v>8</v>
      </c>
      <c r="D25">
        <v>21</v>
      </c>
      <c r="E25">
        <v>-10.49</v>
      </c>
      <c r="F25">
        <v>-8.1</v>
      </c>
      <c r="G25">
        <v>2482.1</v>
      </c>
      <c r="H25" s="38">
        <f>2482.1-2351.8</f>
        <v>130.29999999999973</v>
      </c>
      <c r="K25" t="s">
        <v>80</v>
      </c>
      <c r="L25" s="76">
        <f aca="true" t="shared" si="3" ref="L25:L31">IF(D25&gt;=D24,((C25-C24)+(D25-D24)/60)*$B$5,((C25-C24-1)+(60-D25)/60)*$B$5)</f>
        <v>0.7150000000000001</v>
      </c>
      <c r="M25" s="76">
        <f t="shared" si="2"/>
        <v>50.08666666666668</v>
      </c>
    </row>
    <row r="26" spans="1:13" ht="13.5">
      <c r="A26" s="60">
        <v>39582</v>
      </c>
      <c r="B26" s="61">
        <v>0.40625</v>
      </c>
      <c r="C26">
        <v>8</v>
      </c>
      <c r="D26">
        <v>35</v>
      </c>
      <c r="E26">
        <v>-50.5</v>
      </c>
      <c r="F26">
        <v>-48.3</v>
      </c>
      <c r="G26">
        <v>2815</v>
      </c>
      <c r="H26">
        <v>16</v>
      </c>
      <c r="K26" s="63">
        <v>39737</v>
      </c>
      <c r="L26" s="76">
        <f t="shared" si="3"/>
        <v>0.2566666666666667</v>
      </c>
      <c r="M26" s="76">
        <f t="shared" si="2"/>
        <v>50.34333333333335</v>
      </c>
    </row>
    <row r="27" spans="1:13" ht="15">
      <c r="A27" s="60">
        <v>39583</v>
      </c>
      <c r="B27" s="61">
        <v>0.3576388888888889</v>
      </c>
      <c r="C27">
        <v>18</v>
      </c>
      <c r="D27">
        <v>12</v>
      </c>
      <c r="E27">
        <v>-55.8</v>
      </c>
      <c r="F27">
        <v>-48.3</v>
      </c>
      <c r="G27">
        <v>2935.2</v>
      </c>
      <c r="H27">
        <v>8.8</v>
      </c>
      <c r="K27" s="63">
        <v>39737</v>
      </c>
      <c r="L27" s="76">
        <f t="shared" si="3"/>
        <v>10.780000000000001</v>
      </c>
      <c r="M27" s="76">
        <f t="shared" si="2"/>
        <v>61.12333333333335</v>
      </c>
    </row>
    <row r="28" spans="1:13" ht="15">
      <c r="A28" s="51" t="s">
        <v>87</v>
      </c>
      <c r="B28" s="61">
        <v>0.35416666666666663</v>
      </c>
      <c r="C28">
        <v>23</v>
      </c>
      <c r="D28">
        <v>1</v>
      </c>
      <c r="E28">
        <v>-77.1</v>
      </c>
      <c r="F28">
        <v>-68.2</v>
      </c>
      <c r="G28">
        <v>3141.9</v>
      </c>
      <c r="H28">
        <v>150.7</v>
      </c>
      <c r="K28" s="63">
        <v>39676</v>
      </c>
      <c r="L28" s="76">
        <f t="shared" si="3"/>
        <v>5.481666666666667</v>
      </c>
      <c r="M28" s="76">
        <f t="shared" si="2"/>
        <v>66.60500000000002</v>
      </c>
    </row>
    <row r="29" spans="1:14" ht="15">
      <c r="A29" s="60">
        <v>39585</v>
      </c>
      <c r="B29" s="61">
        <v>0.4444444444444444</v>
      </c>
      <c r="C29">
        <v>28</v>
      </c>
      <c r="D29">
        <v>2</v>
      </c>
      <c r="E29">
        <v>-99.5</v>
      </c>
      <c r="F29">
        <v>-87.7</v>
      </c>
      <c r="G29">
        <v>3272</v>
      </c>
      <c r="K29" s="38" t="s">
        <v>88</v>
      </c>
      <c r="L29" s="76">
        <f t="shared" si="3"/>
        <v>5.5183333333333335</v>
      </c>
      <c r="M29" s="76">
        <f t="shared" si="2"/>
        <v>72.12333333333335</v>
      </c>
      <c r="N29" t="s">
        <v>89</v>
      </c>
    </row>
    <row r="30" spans="1:14" ht="15">
      <c r="A30" s="60">
        <v>39586</v>
      </c>
      <c r="B30" s="61">
        <v>0.375</v>
      </c>
      <c r="C30">
        <v>28</v>
      </c>
      <c r="D30">
        <v>2</v>
      </c>
      <c r="E30">
        <v>-99.5</v>
      </c>
      <c r="F30">
        <v>-87.7</v>
      </c>
      <c r="G30">
        <v>3272</v>
      </c>
      <c r="K30" s="63" t="s">
        <v>82</v>
      </c>
      <c r="L30" s="76">
        <f t="shared" si="3"/>
        <v>0</v>
      </c>
      <c r="M30" s="76">
        <f t="shared" si="2"/>
        <v>72.12333333333335</v>
      </c>
      <c r="N30" t="s">
        <v>90</v>
      </c>
    </row>
    <row r="31" spans="1:13" ht="13.5">
      <c r="A31" s="60">
        <v>39587</v>
      </c>
      <c r="B31" s="61">
        <v>0.3645833333333333</v>
      </c>
      <c r="C31">
        <v>33</v>
      </c>
      <c r="D31">
        <v>27</v>
      </c>
      <c r="E31" t="s">
        <v>91</v>
      </c>
      <c r="F31">
        <v>125.4</v>
      </c>
      <c r="G31">
        <v>3483</v>
      </c>
      <c r="H31">
        <v>42.2</v>
      </c>
      <c r="K31" s="63">
        <v>39637</v>
      </c>
      <c r="L31" s="76">
        <f t="shared" si="3"/>
        <v>5.958333333333334</v>
      </c>
      <c r="M31" s="76">
        <f t="shared" si="2"/>
        <v>78.08166666666668</v>
      </c>
    </row>
    <row r="32" spans="1:13" ht="13.5">
      <c r="A32" s="60">
        <v>39588</v>
      </c>
      <c r="B32" s="61">
        <v>0.35416666666666663</v>
      </c>
      <c r="C32">
        <v>42</v>
      </c>
      <c r="D32">
        <v>3</v>
      </c>
      <c r="E32" t="s">
        <v>91</v>
      </c>
      <c r="F32">
        <v>-66.9</v>
      </c>
      <c r="G32">
        <v>3722.1</v>
      </c>
      <c r="H32">
        <v>40.7</v>
      </c>
      <c r="K32" s="63">
        <v>39768</v>
      </c>
      <c r="L32" s="76">
        <f aca="true" t="shared" si="4" ref="L32:L43">IF(D32&gt;=D31,((C32-C31)+(D32-D31)/60)*$B$5,((C32-C31-1)+(60-D32)/60)*$B$5)</f>
        <v>9.845</v>
      </c>
      <c r="M32" s="76">
        <f t="shared" si="2"/>
        <v>87.92666666666668</v>
      </c>
    </row>
    <row r="33" spans="1:13" ht="13.5">
      <c r="A33" s="80">
        <v>39590</v>
      </c>
      <c r="B33" s="64">
        <v>0.3541666666666667</v>
      </c>
      <c r="C33">
        <v>53</v>
      </c>
      <c r="D33">
        <v>36</v>
      </c>
      <c r="F33">
        <v>-48.6</v>
      </c>
      <c r="G33">
        <v>4263.5</v>
      </c>
      <c r="H33">
        <v>78.8</v>
      </c>
      <c r="L33" s="76">
        <f t="shared" si="4"/>
        <v>12.705000000000002</v>
      </c>
      <c r="M33" s="76">
        <f aca="true" t="shared" si="5" ref="M33:M43">M32+L33</f>
        <v>100.63166666666667</v>
      </c>
    </row>
    <row r="34" spans="1:13" ht="13.5">
      <c r="A34" s="60">
        <v>39591</v>
      </c>
      <c r="B34" s="61">
        <v>0.35416666666666663</v>
      </c>
      <c r="C34">
        <v>59</v>
      </c>
      <c r="D34">
        <v>46</v>
      </c>
      <c r="F34">
        <v>-42.8</v>
      </c>
      <c r="K34" t="s">
        <v>92</v>
      </c>
      <c r="L34" s="76">
        <f t="shared" si="4"/>
        <v>6.783333333333334</v>
      </c>
      <c r="M34" s="76">
        <f t="shared" si="5"/>
        <v>107.415</v>
      </c>
    </row>
    <row r="35" spans="1:13" ht="13.5">
      <c r="A35" s="60">
        <v>39592</v>
      </c>
      <c r="B35" s="61">
        <v>0.3576388888888889</v>
      </c>
      <c r="C35">
        <v>65</v>
      </c>
      <c r="D35">
        <v>1</v>
      </c>
      <c r="F35">
        <v>-61.4</v>
      </c>
      <c r="G35">
        <v>4781.8</v>
      </c>
      <c r="H35">
        <v>190.3</v>
      </c>
      <c r="K35" t="s">
        <v>93</v>
      </c>
      <c r="L35" s="76">
        <f t="shared" si="4"/>
        <v>6.581666666666667</v>
      </c>
      <c r="M35" s="76">
        <f t="shared" si="5"/>
        <v>113.99666666666667</v>
      </c>
    </row>
    <row r="36" spans="1:14" ht="13.5">
      <c r="A36" s="60">
        <v>39593</v>
      </c>
      <c r="B36" s="61">
        <v>0.4305555555555555</v>
      </c>
      <c r="C36">
        <v>65</v>
      </c>
      <c r="D36">
        <v>1</v>
      </c>
      <c r="F36">
        <v>-61.4</v>
      </c>
      <c r="G36">
        <v>4781.8</v>
      </c>
      <c r="K36" t="s">
        <v>82</v>
      </c>
      <c r="L36" s="76">
        <f t="shared" si="4"/>
        <v>0</v>
      </c>
      <c r="M36" s="76">
        <f t="shared" si="5"/>
        <v>113.99666666666667</v>
      </c>
      <c r="N36" t="s">
        <v>94</v>
      </c>
    </row>
    <row r="37" spans="1:13" ht="13.5">
      <c r="A37" s="78">
        <v>39594</v>
      </c>
      <c r="B37" s="64">
        <v>0.3333333333333333</v>
      </c>
      <c r="C37">
        <v>70</v>
      </c>
      <c r="D37">
        <v>50</v>
      </c>
      <c r="E37">
        <v>-16.01</v>
      </c>
      <c r="F37">
        <v>-14.49</v>
      </c>
      <c r="H37">
        <v>36.3</v>
      </c>
      <c r="K37" t="s">
        <v>82</v>
      </c>
      <c r="L37" s="76">
        <f t="shared" si="4"/>
        <v>6.398333333333333</v>
      </c>
      <c r="M37" s="76">
        <f t="shared" si="5"/>
        <v>120.39500000000001</v>
      </c>
    </row>
    <row r="38" spans="1:13" ht="13.5">
      <c r="A38" s="78">
        <v>39595</v>
      </c>
      <c r="B38" s="61">
        <v>0.35416666666666663</v>
      </c>
      <c r="C38">
        <v>71</v>
      </c>
      <c r="D38">
        <v>0</v>
      </c>
      <c r="E38">
        <v>-21.1</v>
      </c>
      <c r="F38">
        <v>-15.53</v>
      </c>
      <c r="G38">
        <v>5112.5</v>
      </c>
      <c r="H38">
        <v>74.3</v>
      </c>
      <c r="K38" t="s">
        <v>78</v>
      </c>
      <c r="L38" s="76">
        <f t="shared" si="4"/>
        <v>1.1</v>
      </c>
      <c r="M38" s="76">
        <f t="shared" si="5"/>
        <v>121.495</v>
      </c>
    </row>
    <row r="39" spans="1:13" ht="13.5">
      <c r="A39" s="78">
        <v>39596</v>
      </c>
      <c r="B39" s="64">
        <v>0.3506944444444444</v>
      </c>
      <c r="C39">
        <v>77</v>
      </c>
      <c r="D39">
        <v>9</v>
      </c>
      <c r="E39">
        <v>-45.9</v>
      </c>
      <c r="F39">
        <v>-37.4</v>
      </c>
      <c r="G39">
        <v>5290</v>
      </c>
      <c r="H39">
        <v>27.5</v>
      </c>
      <c r="K39" s="38" t="s">
        <v>88</v>
      </c>
      <c r="L39" s="76">
        <f t="shared" si="4"/>
        <v>6.765000000000001</v>
      </c>
      <c r="M39" s="76">
        <f t="shared" si="5"/>
        <v>128.26</v>
      </c>
    </row>
    <row r="40" spans="1:13" ht="13.5">
      <c r="A40" s="78">
        <v>39597</v>
      </c>
      <c r="B40" s="64">
        <v>0.3541666666666667</v>
      </c>
      <c r="C40">
        <v>82</v>
      </c>
      <c r="D40">
        <v>43</v>
      </c>
      <c r="E40">
        <v>-72.2</v>
      </c>
      <c r="F40">
        <v>-60.2</v>
      </c>
      <c r="H40">
        <v>73.1</v>
      </c>
      <c r="K40" s="38" t="s">
        <v>88</v>
      </c>
      <c r="L40" s="76">
        <f t="shared" si="4"/>
        <v>6.123333333333334</v>
      </c>
      <c r="M40" s="76">
        <f t="shared" si="5"/>
        <v>134.38333333333333</v>
      </c>
    </row>
    <row r="41" spans="1:13" ht="13.5">
      <c r="A41" s="78">
        <v>39598</v>
      </c>
      <c r="B41" s="64">
        <v>0.3680555555555556</v>
      </c>
      <c r="C41">
        <v>83</v>
      </c>
      <c r="D41">
        <v>53</v>
      </c>
      <c r="E41">
        <v>-3.24</v>
      </c>
      <c r="F41">
        <v>-1.85</v>
      </c>
      <c r="H41">
        <v>30.5</v>
      </c>
      <c r="L41" s="76">
        <f t="shared" si="4"/>
        <v>1.2833333333333334</v>
      </c>
      <c r="M41" s="76">
        <f t="shared" si="5"/>
        <v>135.66666666666666</v>
      </c>
    </row>
    <row r="42" spans="1:13" ht="13.5">
      <c r="A42" s="78">
        <v>39599</v>
      </c>
      <c r="B42" s="64">
        <v>0.625</v>
      </c>
      <c r="C42">
        <v>90</v>
      </c>
      <c r="D42">
        <v>49</v>
      </c>
      <c r="E42">
        <v>-33.6</v>
      </c>
      <c r="F42">
        <v>-31.9</v>
      </c>
      <c r="G42">
        <v>5856</v>
      </c>
      <c r="L42" s="76">
        <f t="shared" si="4"/>
        <v>6.801666666666668</v>
      </c>
      <c r="M42" s="76">
        <f t="shared" si="5"/>
        <v>142.46833333333333</v>
      </c>
    </row>
    <row r="43" spans="1:13" ht="13.5">
      <c r="A43" s="78">
        <v>39600</v>
      </c>
      <c r="B43" s="64">
        <v>0.4166666666666667</v>
      </c>
      <c r="C43">
        <v>97</v>
      </c>
      <c r="D43">
        <v>56</v>
      </c>
      <c r="E43">
        <v>-69.5</v>
      </c>
      <c r="F43">
        <v>-63.6</v>
      </c>
      <c r="G43">
        <v>6113</v>
      </c>
      <c r="K43" s="75" t="s">
        <v>143</v>
      </c>
      <c r="L43" s="76">
        <f t="shared" si="4"/>
        <v>7.828333333333333</v>
      </c>
      <c r="M43" s="77">
        <f t="shared" si="5"/>
        <v>150.29666666666668</v>
      </c>
    </row>
    <row r="44" ht="13.5">
      <c r="A44" s="78"/>
    </row>
    <row r="45" ht="13.5">
      <c r="A45" s="78">
        <v>39600</v>
      </c>
    </row>
  </sheetData>
  <printOptions gridLines="1"/>
  <pageMargins left="0.7000000000000001" right="0.7000000000000001" top="0.75" bottom="0.75" header="0.5118055555555556" footer="0.5118055555555556"/>
  <pageSetup horizontalDpi="300" verticalDpi="300" orientation="landscape" scale="89"/>
  <legacyDrawing r:id="rId2"/>
</worksheet>
</file>

<file path=xl/worksheets/sheet4.xml><?xml version="1.0" encoding="utf-8"?>
<worksheet xmlns="http://schemas.openxmlformats.org/spreadsheetml/2006/main" xmlns:r="http://schemas.openxmlformats.org/officeDocument/2006/relationships">
  <dimension ref="A1:G20"/>
  <sheetViews>
    <sheetView workbookViewId="0" topLeftCell="A4">
      <selection activeCell="F20" sqref="F20"/>
    </sheetView>
  </sheetViews>
  <sheetFormatPr defaultColWidth="9.140625" defaultRowHeight="15"/>
  <cols>
    <col min="1" max="1" width="9.7109375" style="0" customWidth="1"/>
    <col min="2" max="16384" width="8.7109375" style="0" customWidth="1"/>
  </cols>
  <sheetData>
    <row r="1" ht="13.5">
      <c r="A1" t="s">
        <v>95</v>
      </c>
    </row>
    <row r="2" ht="13.5">
      <c r="B2" s="65" t="s">
        <v>96</v>
      </c>
    </row>
    <row r="4" spans="1:3" ht="13.5">
      <c r="A4" t="s">
        <v>97</v>
      </c>
      <c r="B4" t="s">
        <v>98</v>
      </c>
      <c r="C4" t="s">
        <v>99</v>
      </c>
    </row>
    <row r="5" spans="1:3" ht="13.5">
      <c r="A5" s="62">
        <v>39331</v>
      </c>
      <c r="B5" s="66">
        <v>0.11458333333333333</v>
      </c>
      <c r="C5">
        <v>90</v>
      </c>
    </row>
    <row r="6" spans="1:3" ht="13.5">
      <c r="A6" s="62">
        <v>39333</v>
      </c>
      <c r="B6" s="66">
        <v>0.3645833333333333</v>
      </c>
      <c r="C6">
        <v>89.9</v>
      </c>
    </row>
    <row r="7" spans="1:3" ht="13.5">
      <c r="A7" s="67">
        <v>39565</v>
      </c>
      <c r="B7" s="66">
        <v>0.3541666666666667</v>
      </c>
      <c r="C7" t="s">
        <v>100</v>
      </c>
    </row>
    <row r="8" spans="1:3" ht="13.5">
      <c r="A8" s="67">
        <v>39568</v>
      </c>
      <c r="B8" s="66">
        <v>0.3833333333333333</v>
      </c>
      <c r="C8" t="s">
        <v>101</v>
      </c>
    </row>
    <row r="9" spans="1:3" ht="13.5">
      <c r="A9" s="62">
        <v>39569</v>
      </c>
      <c r="B9" s="68">
        <v>0.3125</v>
      </c>
      <c r="C9" t="s">
        <v>101</v>
      </c>
    </row>
    <row r="10" spans="1:3" ht="13.5">
      <c r="A10" s="62">
        <v>39570</v>
      </c>
      <c r="B10" s="68">
        <v>0.8541666666666666</v>
      </c>
      <c r="C10" t="s">
        <v>102</v>
      </c>
    </row>
    <row r="11" spans="1:4" ht="13.5">
      <c r="A11" s="62">
        <v>39581</v>
      </c>
      <c r="B11" s="68">
        <v>0.3576388888888889</v>
      </c>
      <c r="C11" t="s">
        <v>100</v>
      </c>
      <c r="D11" t="s">
        <v>103</v>
      </c>
    </row>
    <row r="12" spans="1:3" ht="13.5">
      <c r="A12" s="62">
        <v>39582</v>
      </c>
      <c r="B12" s="68">
        <v>0.41666666666666663</v>
      </c>
      <c r="C12" t="s">
        <v>100</v>
      </c>
    </row>
    <row r="13" spans="1:3" ht="13.5">
      <c r="A13" s="62">
        <v>39584</v>
      </c>
      <c r="B13" s="68">
        <v>0.3472222222222222</v>
      </c>
      <c r="C13" s="62">
        <v>39455</v>
      </c>
    </row>
    <row r="14" spans="1:3" ht="13.5">
      <c r="A14" s="62">
        <v>39585</v>
      </c>
      <c r="B14" s="68">
        <v>0.4444444444444444</v>
      </c>
      <c r="C14" t="s">
        <v>104</v>
      </c>
    </row>
    <row r="15" spans="1:3" ht="13.5">
      <c r="A15" s="62">
        <v>39586</v>
      </c>
      <c r="B15" s="68">
        <v>0.375</v>
      </c>
      <c r="C15" t="s">
        <v>104</v>
      </c>
    </row>
    <row r="17" spans="1:7" ht="13.5">
      <c r="A17" s="62">
        <v>39588</v>
      </c>
      <c r="B17" s="68">
        <v>0.35416666666666663</v>
      </c>
      <c r="C17" t="s">
        <v>105</v>
      </c>
      <c r="G17" t="s">
        <v>106</v>
      </c>
    </row>
    <row r="19" spans="1:2" ht="13.5">
      <c r="A19" s="62">
        <v>39590</v>
      </c>
      <c r="B19" s="68">
        <v>0.3645833333333333</v>
      </c>
    </row>
    <row r="20" spans="1:6" ht="13.5">
      <c r="A20" s="62">
        <v>39595</v>
      </c>
      <c r="B20" s="68">
        <v>0.35416666666666663</v>
      </c>
      <c r="C20" t="s">
        <v>107</v>
      </c>
      <c r="F20" t="s">
        <v>108</v>
      </c>
    </row>
  </sheetData>
  <printOptions/>
  <pageMargins left="0.7000000000000001" right="0.7000000000000001" top="0.75" bottom="0.75" header="0.5118055555555556" footer="0.5118055555555556"/>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6"/>
  <sheetViews>
    <sheetView workbookViewId="0" topLeftCell="A1">
      <selection activeCell="F20" sqref="F20"/>
    </sheetView>
  </sheetViews>
  <sheetFormatPr defaultColWidth="9.140625" defaultRowHeight="15"/>
  <cols>
    <col min="1" max="1" width="11.140625" style="0" customWidth="1"/>
    <col min="2" max="2" width="9.140625" style="0" customWidth="1"/>
    <col min="3" max="5" width="10.57421875" style="0" customWidth="1"/>
    <col min="6" max="16384" width="8.7109375" style="0" customWidth="1"/>
  </cols>
  <sheetData>
    <row r="1" spans="1:4" ht="13.5">
      <c r="A1" s="1"/>
      <c r="B1" s="53" t="s">
        <v>109</v>
      </c>
      <c r="C1" s="1"/>
      <c r="D1" s="1"/>
    </row>
    <row r="2" spans="1:4" ht="13.5">
      <c r="A2" s="1"/>
      <c r="B2" s="53"/>
      <c r="C2" s="1"/>
      <c r="D2" s="1"/>
    </row>
    <row r="3" spans="1:5" ht="13.5">
      <c r="A3" s="1"/>
      <c r="B3" s="1"/>
      <c r="C3" s="1" t="s">
        <v>110</v>
      </c>
      <c r="D3" s="1" t="s">
        <v>111</v>
      </c>
      <c r="E3" s="1" t="s">
        <v>112</v>
      </c>
    </row>
    <row r="4" spans="1:5" ht="13.5">
      <c r="A4" s="1" t="s">
        <v>97</v>
      </c>
      <c r="B4" s="1" t="s">
        <v>98</v>
      </c>
      <c r="C4" s="1" t="s">
        <v>113</v>
      </c>
      <c r="D4" s="1" t="s">
        <v>113</v>
      </c>
      <c r="E4" s="1" t="s">
        <v>113</v>
      </c>
    </row>
    <row r="5" spans="1:5" ht="13.5">
      <c r="A5" s="67">
        <v>39565</v>
      </c>
      <c r="B5" s="69">
        <v>0.3541666666666667</v>
      </c>
      <c r="C5">
        <v>0</v>
      </c>
      <c r="D5">
        <v>0</v>
      </c>
      <c r="E5">
        <v>0</v>
      </c>
    </row>
    <row r="6" spans="1:5" ht="13.5">
      <c r="A6" s="67">
        <v>39569</v>
      </c>
      <c r="B6" s="69">
        <v>0.3125</v>
      </c>
      <c r="C6">
        <v>0</v>
      </c>
      <c r="D6">
        <v>0</v>
      </c>
      <c r="E6" t="s">
        <v>114</v>
      </c>
    </row>
    <row r="7" spans="1:5" ht="13.5">
      <c r="A7" s="62">
        <v>39570</v>
      </c>
      <c r="B7" s="69">
        <v>0.3381944444444444</v>
      </c>
      <c r="C7">
        <v>1</v>
      </c>
      <c r="D7">
        <v>1</v>
      </c>
      <c r="E7" t="s">
        <v>115</v>
      </c>
    </row>
    <row r="8" spans="1:5" ht="13.5">
      <c r="A8" s="62">
        <v>39581</v>
      </c>
      <c r="B8" s="69">
        <v>0.3680555555555555</v>
      </c>
      <c r="C8">
        <v>0</v>
      </c>
      <c r="E8" t="s">
        <v>114</v>
      </c>
    </row>
    <row r="9" spans="1:5" ht="13.5">
      <c r="A9" s="62">
        <v>39582</v>
      </c>
      <c r="B9" s="69">
        <v>0.41666666666666663</v>
      </c>
      <c r="C9">
        <v>1</v>
      </c>
      <c r="D9">
        <v>1</v>
      </c>
      <c r="E9">
        <v>3</v>
      </c>
    </row>
    <row r="10" spans="1:5" ht="13.5">
      <c r="A10" s="62">
        <v>39584</v>
      </c>
      <c r="B10" s="69">
        <v>0.3472222222222222</v>
      </c>
      <c r="C10">
        <v>0</v>
      </c>
      <c r="D10">
        <v>1</v>
      </c>
      <c r="E10" t="s">
        <v>114</v>
      </c>
    </row>
    <row r="11" spans="1:6" ht="13.5">
      <c r="A11" s="62">
        <v>39585</v>
      </c>
      <c r="B11" s="69">
        <v>0.4444444444444444</v>
      </c>
      <c r="C11">
        <v>0</v>
      </c>
      <c r="D11">
        <v>0</v>
      </c>
      <c r="F11" t="s">
        <v>43</v>
      </c>
    </row>
    <row r="12" spans="1:6" ht="13.5">
      <c r="A12" s="62">
        <v>39586</v>
      </c>
      <c r="B12" s="69">
        <v>0.375</v>
      </c>
      <c r="C12">
        <v>0</v>
      </c>
      <c r="D12">
        <v>0</v>
      </c>
      <c r="F12" t="s">
        <v>43</v>
      </c>
    </row>
    <row r="13" spans="1:2" ht="13.5">
      <c r="A13" s="62"/>
      <c r="B13" s="69"/>
    </row>
    <row r="14" spans="1:5" ht="13.5">
      <c r="A14" s="62">
        <v>39588</v>
      </c>
      <c r="B14" s="69">
        <v>0.35416666666666663</v>
      </c>
      <c r="C14">
        <v>0</v>
      </c>
      <c r="D14">
        <v>1</v>
      </c>
      <c r="E14">
        <v>0</v>
      </c>
    </row>
    <row r="15" spans="1:2" ht="13.5">
      <c r="A15" s="62"/>
      <c r="B15" s="69"/>
    </row>
    <row r="16" spans="1:2" ht="13.5">
      <c r="A16" s="62"/>
      <c r="B16" s="69"/>
    </row>
    <row r="17" spans="1:5" ht="13.5">
      <c r="A17" s="62">
        <v>39590</v>
      </c>
      <c r="B17" s="69">
        <v>0.3645833333333333</v>
      </c>
      <c r="C17">
        <v>1</v>
      </c>
      <c r="D17">
        <v>0</v>
      </c>
      <c r="E17" t="s">
        <v>114</v>
      </c>
    </row>
    <row r="18" spans="1:5" ht="13.5">
      <c r="A18" s="62">
        <v>39592</v>
      </c>
      <c r="B18" s="69">
        <v>0.3576388888888889</v>
      </c>
      <c r="C18">
        <v>1</v>
      </c>
      <c r="D18">
        <v>1</v>
      </c>
      <c r="E18" t="s">
        <v>114</v>
      </c>
    </row>
    <row r="19" spans="1:6" ht="13.5">
      <c r="A19" s="62">
        <v>39593</v>
      </c>
      <c r="B19" s="69">
        <v>0.4305555555555555</v>
      </c>
      <c r="C19">
        <v>0</v>
      </c>
      <c r="D19">
        <v>0</v>
      </c>
      <c r="E19">
        <v>0</v>
      </c>
      <c r="F19" t="s">
        <v>43</v>
      </c>
    </row>
    <row r="20" spans="1:5" ht="13.5">
      <c r="A20" s="62">
        <v>39595</v>
      </c>
      <c r="B20" s="69">
        <v>0.35416666666666663</v>
      </c>
      <c r="C20">
        <v>1</v>
      </c>
      <c r="D20">
        <v>1</v>
      </c>
      <c r="E20">
        <v>0</v>
      </c>
    </row>
    <row r="21" spans="1:2" ht="13.5">
      <c r="A21" s="62"/>
      <c r="B21" s="69"/>
    </row>
    <row r="22" spans="1:2" ht="13.5">
      <c r="A22" s="67"/>
      <c r="B22" s="70"/>
    </row>
    <row r="23" spans="1:2" ht="13.5">
      <c r="A23" s="67"/>
      <c r="B23" s="70"/>
    </row>
    <row r="24" spans="1:2" ht="13.5">
      <c r="A24" s="62"/>
      <c r="B24" s="68"/>
    </row>
    <row r="25" spans="1:2" ht="13.5">
      <c r="A25" s="67"/>
      <c r="B25" s="70"/>
    </row>
    <row r="26" spans="1:2" ht="13.5">
      <c r="A26" s="67"/>
      <c r="B26" s="70"/>
    </row>
  </sheetData>
  <printOptions/>
  <pageMargins left="0.7000000000000001" right="0.7000000000000001" top="0.75" bottom="0.75" header="0.5118055555555556" footer="0.5118055555555556"/>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S47"/>
  <sheetViews>
    <sheetView workbookViewId="0" topLeftCell="A1">
      <selection activeCell="A18" sqref="A18"/>
    </sheetView>
  </sheetViews>
  <sheetFormatPr defaultColWidth="9.140625" defaultRowHeight="15"/>
  <cols>
    <col min="1" max="1" width="17.00390625" style="0" customWidth="1"/>
    <col min="2" max="2" width="12.28125" style="0" customWidth="1"/>
    <col min="3" max="3" width="12.140625" style="0" customWidth="1"/>
    <col min="4" max="16384" width="8.7109375" style="0" customWidth="1"/>
  </cols>
  <sheetData>
    <row r="1" ht="13.5">
      <c r="A1" s="1" t="s">
        <v>116</v>
      </c>
    </row>
    <row r="2" spans="1:7" ht="13.5">
      <c r="A2" t="s">
        <v>117</v>
      </c>
      <c r="B2" t="s">
        <v>118</v>
      </c>
      <c r="C2" t="s">
        <v>119</v>
      </c>
      <c r="D2" t="s">
        <v>120</v>
      </c>
      <c r="E2" t="s">
        <v>121</v>
      </c>
      <c r="F2" t="s">
        <v>122</v>
      </c>
      <c r="G2" t="s">
        <v>123</v>
      </c>
    </row>
    <row r="3" spans="1:7" ht="13.5">
      <c r="A3">
        <v>4</v>
      </c>
      <c r="B3">
        <v>4</v>
      </c>
      <c r="C3">
        <v>25</v>
      </c>
      <c r="D3" s="38">
        <f aca="true" t="shared" si="0" ref="D3:D14">B3/C3</f>
        <v>0.16</v>
      </c>
      <c r="E3" s="38">
        <f aca="true" t="shared" si="1" ref="E3:E14">3.8*D3</f>
        <v>0.608</v>
      </c>
      <c r="F3">
        <v>8</v>
      </c>
      <c r="G3" s="38">
        <f aca="true" t="shared" si="2" ref="G3:G14">A3*3.8</f>
        <v>15.2</v>
      </c>
    </row>
    <row r="4" spans="1:7" ht="13.5">
      <c r="A4">
        <v>7</v>
      </c>
      <c r="B4">
        <v>3</v>
      </c>
      <c r="C4">
        <v>19</v>
      </c>
      <c r="D4" s="38">
        <f t="shared" si="0"/>
        <v>0.15789473684210525</v>
      </c>
      <c r="E4" s="38">
        <f t="shared" si="1"/>
        <v>0.6</v>
      </c>
      <c r="F4">
        <v>11</v>
      </c>
      <c r="G4" s="38">
        <f t="shared" si="2"/>
        <v>26.599999999999998</v>
      </c>
    </row>
    <row r="5" spans="1:7" ht="13.5">
      <c r="A5">
        <v>10</v>
      </c>
      <c r="B5">
        <v>3</v>
      </c>
      <c r="C5">
        <v>18</v>
      </c>
      <c r="D5" s="38">
        <f t="shared" si="0"/>
        <v>0.16666666666666666</v>
      </c>
      <c r="E5" s="38">
        <f t="shared" si="1"/>
        <v>0.6333333333333333</v>
      </c>
      <c r="F5">
        <v>13.5</v>
      </c>
      <c r="G5" s="38">
        <f t="shared" si="2"/>
        <v>38</v>
      </c>
    </row>
    <row r="6" spans="1:7" ht="13.5">
      <c r="A6">
        <v>14</v>
      </c>
      <c r="B6">
        <v>4</v>
      </c>
      <c r="C6">
        <v>23</v>
      </c>
      <c r="D6" s="38">
        <f t="shared" si="0"/>
        <v>0.17391304347826086</v>
      </c>
      <c r="E6" s="38">
        <f t="shared" si="1"/>
        <v>0.6608695652173913</v>
      </c>
      <c r="F6">
        <v>16.5</v>
      </c>
      <c r="G6" s="38">
        <f t="shared" si="2"/>
        <v>53.199999999999996</v>
      </c>
    </row>
    <row r="7" spans="1:7" ht="13.5">
      <c r="A7">
        <v>18</v>
      </c>
      <c r="B7">
        <v>4</v>
      </c>
      <c r="C7">
        <v>23</v>
      </c>
      <c r="D7" s="38">
        <f t="shared" si="0"/>
        <v>0.17391304347826086</v>
      </c>
      <c r="E7" s="38">
        <f t="shared" si="1"/>
        <v>0.6608695652173913</v>
      </c>
      <c r="F7">
        <v>20</v>
      </c>
      <c r="G7" s="38">
        <f t="shared" si="2"/>
        <v>68.39999999999999</v>
      </c>
    </row>
    <row r="8" spans="1:7" ht="13.5">
      <c r="A8">
        <v>22</v>
      </c>
      <c r="B8">
        <v>4</v>
      </c>
      <c r="C8">
        <v>23</v>
      </c>
      <c r="D8" s="38">
        <f t="shared" si="0"/>
        <v>0.17391304347826086</v>
      </c>
      <c r="E8" s="38">
        <f t="shared" si="1"/>
        <v>0.6608695652173913</v>
      </c>
      <c r="F8">
        <v>24</v>
      </c>
      <c r="G8" s="38">
        <f t="shared" si="2"/>
        <v>83.6</v>
      </c>
    </row>
    <row r="9" spans="1:7" ht="13.5">
      <c r="A9">
        <v>28</v>
      </c>
      <c r="B9">
        <v>6</v>
      </c>
      <c r="C9">
        <v>37</v>
      </c>
      <c r="D9" s="38">
        <f t="shared" si="0"/>
        <v>0.16216216216216217</v>
      </c>
      <c r="E9" s="38">
        <f t="shared" si="1"/>
        <v>0.6162162162162163</v>
      </c>
      <c r="F9">
        <v>29.5</v>
      </c>
      <c r="G9" s="38">
        <f t="shared" si="2"/>
        <v>106.39999999999999</v>
      </c>
    </row>
    <row r="10" spans="1:7" ht="13.5">
      <c r="A10">
        <v>30</v>
      </c>
      <c r="B10">
        <v>2</v>
      </c>
      <c r="C10">
        <v>12</v>
      </c>
      <c r="D10" s="38">
        <f t="shared" si="0"/>
        <v>0.16666666666666666</v>
      </c>
      <c r="E10" s="38">
        <f t="shared" si="1"/>
        <v>0.6333333333333333</v>
      </c>
      <c r="F10">
        <v>31</v>
      </c>
      <c r="G10" s="38">
        <f t="shared" si="2"/>
        <v>114</v>
      </c>
    </row>
    <row r="11" spans="1:7" ht="13.5">
      <c r="A11">
        <v>34</v>
      </c>
      <c r="B11">
        <v>4</v>
      </c>
      <c r="C11">
        <v>24</v>
      </c>
      <c r="D11" s="38">
        <f t="shared" si="0"/>
        <v>0.16666666666666666</v>
      </c>
      <c r="E11" s="38">
        <f t="shared" si="1"/>
        <v>0.6333333333333333</v>
      </c>
      <c r="F11">
        <v>36</v>
      </c>
      <c r="G11" s="38">
        <f t="shared" si="2"/>
        <v>129.2</v>
      </c>
    </row>
    <row r="12" spans="1:7" ht="13.5">
      <c r="A12">
        <v>35</v>
      </c>
      <c r="B12">
        <v>1</v>
      </c>
      <c r="C12">
        <v>6</v>
      </c>
      <c r="D12" s="38">
        <f t="shared" si="0"/>
        <v>0.16666666666666666</v>
      </c>
      <c r="E12" s="38">
        <f t="shared" si="1"/>
        <v>0.6333333333333333</v>
      </c>
      <c r="F12">
        <v>37.5</v>
      </c>
      <c r="G12" s="38">
        <f t="shared" si="2"/>
        <v>133</v>
      </c>
    </row>
    <row r="13" spans="1:7" ht="13.5">
      <c r="A13">
        <v>36</v>
      </c>
      <c r="B13">
        <v>1</v>
      </c>
      <c r="C13">
        <v>6</v>
      </c>
      <c r="D13" s="38">
        <f t="shared" si="0"/>
        <v>0.16666666666666666</v>
      </c>
      <c r="E13" s="38">
        <f t="shared" si="1"/>
        <v>0.6333333333333333</v>
      </c>
      <c r="F13">
        <v>39</v>
      </c>
      <c r="G13" s="38">
        <f t="shared" si="2"/>
        <v>136.79999999999998</v>
      </c>
    </row>
    <row r="14" spans="1:7" ht="13.5">
      <c r="A14">
        <v>37</v>
      </c>
      <c r="B14">
        <v>1</v>
      </c>
      <c r="C14">
        <v>6</v>
      </c>
      <c r="D14" s="38">
        <f t="shared" si="0"/>
        <v>0.16666666666666666</v>
      </c>
      <c r="E14" s="38">
        <f t="shared" si="1"/>
        <v>0.6333333333333333</v>
      </c>
      <c r="F14">
        <v>40</v>
      </c>
      <c r="G14" s="38">
        <f t="shared" si="2"/>
        <v>140.6</v>
      </c>
    </row>
    <row r="15" spans="2:6" ht="13.5">
      <c r="B15" s="1" t="s">
        <v>124</v>
      </c>
      <c r="C15" s="1"/>
      <c r="D15" s="1">
        <f>AVERAGE(D3:D14)</f>
        <v>0.1668163357865875</v>
      </c>
      <c r="E15" s="1">
        <f>AVERAGE(E3:E14)</f>
        <v>0.6339020759890324</v>
      </c>
      <c r="F15" s="1"/>
    </row>
    <row r="16" spans="1:9" ht="14.25">
      <c r="A16" s="71" t="s">
        <v>125</v>
      </c>
      <c r="B16" s="1"/>
      <c r="D16" s="1"/>
      <c r="E16" s="1"/>
      <c r="F16" s="53" t="s">
        <v>126</v>
      </c>
      <c r="G16" s="34">
        <f>(G14-G3)/(F14-F3)</f>
        <v>3.9187499999999997</v>
      </c>
      <c r="H16" t="s">
        <v>127</v>
      </c>
      <c r="I16" s="38"/>
    </row>
    <row r="17" spans="1:8" ht="13.5">
      <c r="A17" t="s">
        <v>128</v>
      </c>
      <c r="B17" s="1"/>
      <c r="C17" s="1"/>
      <c r="D17" s="1"/>
      <c r="E17" s="1"/>
      <c r="F17" s="1"/>
      <c r="G17" s="38">
        <f>G16/3.78</f>
        <v>1.036706349206349</v>
      </c>
      <c r="H17" t="s">
        <v>129</v>
      </c>
    </row>
    <row r="18" spans="1:6" ht="13.5">
      <c r="A18" t="s">
        <v>130</v>
      </c>
      <c r="B18" s="1"/>
      <c r="C18" s="1"/>
      <c r="D18" s="1"/>
      <c r="E18" s="1"/>
      <c r="F18" s="1"/>
    </row>
    <row r="20" ht="13.5">
      <c r="A20" s="1" t="s">
        <v>131</v>
      </c>
    </row>
    <row r="21" ht="13.5">
      <c r="A21" t="s">
        <v>132</v>
      </c>
    </row>
    <row r="22" ht="13.5">
      <c r="A22" t="s">
        <v>133</v>
      </c>
    </row>
    <row r="23" ht="13.5">
      <c r="A23" t="s">
        <v>134</v>
      </c>
    </row>
    <row r="25" spans="1:3" ht="13.5">
      <c r="A25" t="s">
        <v>135</v>
      </c>
      <c r="B25" t="s">
        <v>136</v>
      </c>
      <c r="C25" t="s">
        <v>137</v>
      </c>
    </row>
    <row r="26" spans="1:3" ht="13.5">
      <c r="A26">
        <v>5</v>
      </c>
      <c r="B26">
        <v>7.5</v>
      </c>
      <c r="C26" s="38">
        <f aca="true" t="shared" si="3" ref="C26:C44">A26*3.785</f>
        <v>18.925</v>
      </c>
    </row>
    <row r="27" spans="1:3" ht="13.5">
      <c r="A27">
        <v>10</v>
      </c>
      <c r="B27">
        <v>9.5</v>
      </c>
      <c r="C27" s="38">
        <f t="shared" si="3"/>
        <v>37.85</v>
      </c>
    </row>
    <row r="28" spans="1:3" ht="13.5">
      <c r="A28">
        <v>15</v>
      </c>
      <c r="B28">
        <v>11</v>
      </c>
      <c r="C28" s="38">
        <f t="shared" si="3"/>
        <v>56.775000000000006</v>
      </c>
    </row>
    <row r="29" spans="1:3" ht="13.5">
      <c r="A29">
        <v>20</v>
      </c>
      <c r="B29">
        <v>13</v>
      </c>
      <c r="C29" s="38">
        <f t="shared" si="3"/>
        <v>75.7</v>
      </c>
    </row>
    <row r="30" spans="1:3" ht="13.5">
      <c r="A30">
        <v>30</v>
      </c>
      <c r="B30">
        <v>17</v>
      </c>
      <c r="C30" s="38">
        <f t="shared" si="3"/>
        <v>113.55000000000001</v>
      </c>
    </row>
    <row r="31" spans="1:3" ht="13.5">
      <c r="A31">
        <v>40</v>
      </c>
      <c r="B31">
        <v>22</v>
      </c>
      <c r="C31" s="38">
        <f t="shared" si="3"/>
        <v>151.4</v>
      </c>
    </row>
    <row r="32" spans="1:3" ht="13.5">
      <c r="A32">
        <v>50</v>
      </c>
      <c r="B32">
        <v>24</v>
      </c>
      <c r="C32" s="38">
        <f t="shared" si="3"/>
        <v>189.25</v>
      </c>
    </row>
    <row r="33" spans="1:19" ht="13.5">
      <c r="A33">
        <v>60</v>
      </c>
      <c r="B33">
        <v>27.5</v>
      </c>
      <c r="C33" s="38">
        <f t="shared" si="3"/>
        <v>227.10000000000002</v>
      </c>
      <c r="S33" t="s">
        <v>138</v>
      </c>
    </row>
    <row r="34" spans="1:3" ht="13.5">
      <c r="A34">
        <v>70</v>
      </c>
      <c r="B34">
        <v>30</v>
      </c>
      <c r="C34" s="38">
        <f t="shared" si="3"/>
        <v>264.95</v>
      </c>
    </row>
    <row r="35" spans="1:3" ht="13.5">
      <c r="A35">
        <v>80</v>
      </c>
      <c r="B35">
        <v>33</v>
      </c>
      <c r="C35" s="38">
        <f t="shared" si="3"/>
        <v>302.8</v>
      </c>
    </row>
    <row r="36" spans="1:3" ht="13.5">
      <c r="A36">
        <v>90</v>
      </c>
      <c r="B36">
        <v>38</v>
      </c>
      <c r="C36" s="38">
        <f t="shared" si="3"/>
        <v>340.65000000000003</v>
      </c>
    </row>
    <row r="37" spans="1:19" ht="13.5">
      <c r="A37">
        <v>100</v>
      </c>
      <c r="B37">
        <v>41</v>
      </c>
      <c r="C37" s="38">
        <f t="shared" si="3"/>
        <v>378.5</v>
      </c>
      <c r="H37" t="s">
        <v>138</v>
      </c>
      <c r="S37" t="s">
        <v>138</v>
      </c>
    </row>
    <row r="38" spans="1:3" ht="13.5">
      <c r="A38">
        <v>110</v>
      </c>
      <c r="B38">
        <v>45</v>
      </c>
      <c r="C38" s="38">
        <f t="shared" si="3"/>
        <v>416.35</v>
      </c>
    </row>
    <row r="39" spans="1:3" ht="13.5">
      <c r="A39">
        <v>120</v>
      </c>
      <c r="B39">
        <v>48</v>
      </c>
      <c r="C39" s="38">
        <f t="shared" si="3"/>
        <v>454.20000000000005</v>
      </c>
    </row>
    <row r="40" spans="1:3" ht="13.5">
      <c r="A40">
        <v>130</v>
      </c>
      <c r="B40">
        <v>51.5</v>
      </c>
      <c r="C40" s="38">
        <f t="shared" si="3"/>
        <v>492.05</v>
      </c>
    </row>
    <row r="41" spans="1:3" ht="13.5">
      <c r="A41">
        <v>140</v>
      </c>
      <c r="B41">
        <v>55</v>
      </c>
      <c r="C41" s="38">
        <f t="shared" si="3"/>
        <v>529.9</v>
      </c>
    </row>
    <row r="42" spans="1:3" ht="13.5">
      <c r="A42">
        <v>150</v>
      </c>
      <c r="B42">
        <v>58</v>
      </c>
      <c r="C42" s="38">
        <f t="shared" si="3"/>
        <v>567.75</v>
      </c>
    </row>
    <row r="43" spans="1:3" ht="13.5">
      <c r="A43">
        <v>160</v>
      </c>
      <c r="B43">
        <v>61</v>
      </c>
      <c r="C43" s="38">
        <f t="shared" si="3"/>
        <v>605.6</v>
      </c>
    </row>
    <row r="44" spans="1:3" ht="13.5">
      <c r="A44">
        <v>166.7</v>
      </c>
      <c r="B44">
        <v>63</v>
      </c>
      <c r="C44" s="38">
        <f t="shared" si="3"/>
        <v>630.9594999999999</v>
      </c>
    </row>
    <row r="45" spans="1:4" ht="13.5">
      <c r="A45" s="65" t="s">
        <v>139</v>
      </c>
      <c r="B45" s="34">
        <f>(C43-C26)/(B43-B26)</f>
        <v>10.965887850467292</v>
      </c>
      <c r="C45" t="s">
        <v>127</v>
      </c>
      <c r="D45" s="38"/>
    </row>
    <row r="46" spans="1:4" ht="13.5">
      <c r="A46" s="65" t="s">
        <v>7</v>
      </c>
      <c r="B46" s="72"/>
      <c r="D46" s="38"/>
    </row>
    <row r="47" spans="1:3" ht="13.5">
      <c r="A47" t="s">
        <v>140</v>
      </c>
      <c r="B47" s="38">
        <f>A44*3.785</f>
        <v>630.9594999999999</v>
      </c>
      <c r="C47" t="s">
        <v>16</v>
      </c>
    </row>
  </sheetData>
  <printOptions gridLines="1"/>
  <pageMargins left="0.7000000000000001" right="0.7000000000000001" top="0.75" bottom="0.75" header="0.5118055555555556" footer="0.5118055555555556"/>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G18" sqref="G18"/>
    </sheetView>
  </sheetViews>
  <sheetFormatPr defaultColWidth="10.8515625" defaultRowHeight="15"/>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jdwood</cp:lastModifiedBy>
  <dcterms:modified xsi:type="dcterms:W3CDTF">2008-06-03T18:17:59Z</dcterms:modified>
  <cp:category/>
  <cp:version/>
  <cp:contentType/>
  <cp:contentStatus/>
</cp:coreProperties>
</file>