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000" tabRatio="500" activeTab="2"/>
  </bookViews>
  <sheets>
    <sheet name="Data sheet" sheetId="1" r:id="rId1"/>
    <sheet name="Ishmael" sheetId="2" r:id="rId2"/>
    <sheet name="Graph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<sst xmlns="http://schemas.openxmlformats.org/spreadsheetml/2006/main" count="113" uniqueCount="94">
  <si>
    <t>GPS time</t>
  </si>
  <si>
    <t>File name</t>
  </si>
  <si>
    <t>Ship radar data</t>
  </si>
  <si>
    <t>range (nm)</t>
  </si>
  <si>
    <t>m/nm</t>
  </si>
  <si>
    <t>hr</t>
  </si>
  <si>
    <t>min</t>
  </si>
  <si>
    <t>sec</t>
  </si>
  <si>
    <t>notes</t>
  </si>
  <si>
    <t>n/a</t>
  </si>
  <si>
    <t>0300</t>
  </si>
  <si>
    <t>0326</t>
  </si>
  <si>
    <t>0424</t>
  </si>
  <si>
    <t>0449</t>
  </si>
  <si>
    <t>0517</t>
  </si>
  <si>
    <t>0542</t>
  </si>
  <si>
    <t>0615</t>
  </si>
  <si>
    <t>0645</t>
  </si>
  <si>
    <t>0710</t>
  </si>
  <si>
    <t>0737</t>
  </si>
  <si>
    <t>0808</t>
  </si>
  <si>
    <t>0837</t>
  </si>
  <si>
    <t>1616</t>
  </si>
  <si>
    <t>1641</t>
  </si>
  <si>
    <t>1713</t>
  </si>
  <si>
    <t>1741</t>
  </si>
  <si>
    <t>1811</t>
  </si>
  <si>
    <t>1839</t>
  </si>
  <si>
    <t>1906</t>
  </si>
  <si>
    <t>1948</t>
  </si>
  <si>
    <t>2009</t>
  </si>
  <si>
    <t>2032</t>
  </si>
  <si>
    <t>2104</t>
  </si>
  <si>
    <t>2132</t>
  </si>
  <si>
    <t>2200</t>
  </si>
  <si>
    <t>2227</t>
  </si>
  <si>
    <t>2302</t>
  </si>
  <si>
    <t>bearing 1</t>
  </si>
  <si>
    <t>bearing 2</t>
  </si>
  <si>
    <t>lost</t>
  </si>
  <si>
    <t>radar range (m)</t>
  </si>
  <si>
    <t>Start first pass at: 48o 30.8 N, 123o 11.7W; speaker at 1/4 aux level (~135-141dB based on InterOcean @1m in tub); receiver on high gain; speaker at 2.5m depth; GV speed through water 2.3 knots.</t>
  </si>
  <si>
    <t>Start second pass at: 48o 30.836 N, 123o 12.010 W; speaker at 1/2 aux level (~156-161dB based on InterOcean @1m in tub); receiver on high gain; speaker at 2.5m depth; GV speed through water 2.6 knots; background noise ~117dB.</t>
  </si>
  <si>
    <t>End location: 48o 30.859 N, 123o 12.299 W</t>
  </si>
  <si>
    <t>End location: 48o 30.8 N, 123o 11.9 W</t>
  </si>
  <si>
    <t>gain down</t>
  </si>
  <si>
    <t>change gain, speed boat</t>
  </si>
  <si>
    <t>Range-finder (m)</t>
  </si>
  <si>
    <t>Ishmael results</t>
  </si>
  <si>
    <t>Note: Val's laptop within 1 second of GPS at start of experiment</t>
  </si>
  <si>
    <t>Avg range</t>
  </si>
  <si>
    <t>avg bearing</t>
  </si>
  <si>
    <t>x</t>
  </si>
  <si>
    <t>y</t>
  </si>
  <si>
    <t>Calculated avgs:</t>
  </si>
  <si>
    <t>Hydrophones at x=0, y = -10m, -20m, -30m, -40m</t>
  </si>
  <si>
    <t>HYPERBOLIC ISHMAEL</t>
  </si>
  <si>
    <t>File</t>
  </si>
  <si>
    <t>comment</t>
  </si>
  <si>
    <t>range</t>
  </si>
  <si>
    <t>bearing</t>
  </si>
  <si>
    <t>mirror</t>
  </si>
  <si>
    <t>arc tan2(y/x)</t>
  </si>
  <si>
    <t>avg range</t>
  </si>
  <si>
    <t>avg mirror</t>
  </si>
  <si>
    <t>05_13_2007_10_19_27</t>
  </si>
  <si>
    <t>great S/N</t>
  </si>
  <si>
    <t>05_13_2007_10_04_24</t>
  </si>
  <si>
    <t>weak</t>
  </si>
  <si>
    <t>05_13_2007_10_04_49</t>
  </si>
  <si>
    <t>strong</t>
  </si>
  <si>
    <t>05_13_2007_10_05_17</t>
  </si>
  <si>
    <t>05_13_2007_10_05_42</t>
  </si>
  <si>
    <t>05_13_2007_10_06_15</t>
  </si>
  <si>
    <t>not as strong</t>
  </si>
  <si>
    <t>05_13_2007_10_06_45</t>
  </si>
  <si>
    <t>05_13_2007_10_07_10</t>
  </si>
  <si>
    <t>05_13_2007_10_07_37</t>
  </si>
  <si>
    <t>very weak</t>
  </si>
  <si>
    <t>05_13_2007_10_08_08</t>
  </si>
  <si>
    <t>2 calls</t>
  </si>
  <si>
    <t>05_13_2007_10_08_37</t>
  </si>
  <si>
    <t>05_13_2007_10_16_16</t>
  </si>
  <si>
    <t>05_13_2007_10_16_41</t>
  </si>
  <si>
    <t>AOK S/N</t>
  </si>
  <si>
    <t>05_13_2007_10_17_12</t>
  </si>
  <si>
    <t>avg x</t>
  </si>
  <si>
    <t>avg y</t>
  </si>
  <si>
    <t>180-mirror</t>
  </si>
  <si>
    <t>using mirror bearing…</t>
  </si>
  <si>
    <t>using non-mirror bearing</t>
  </si>
  <si>
    <t>360+180-bearing</t>
  </si>
  <si>
    <t>using 180-mirror bearing…</t>
  </si>
  <si>
    <t>using 360+180-bearing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</si>
</sst>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0.0E+00"/>
    <numFmt numFmtId="170" formatCode="_(* #,##0_);_(* \(#,##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name val="Verdana"/>
      <family val="0"/>
    </font>
    <font>
      <sz val="10.25"/>
      <name val="Verdana"/>
      <family val="0"/>
    </font>
    <font>
      <b/>
      <sz val="10.25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5" borderId="1" xfId="0" applyFill="1" applyBorder="1" applyAlignment="1">
      <alignment horizontal="center" wrapText="1"/>
    </xf>
    <xf numFmtId="0" fontId="0" fillId="3" borderId="2" xfId="0" applyFill="1" applyBorder="1" applyAlignment="1">
      <alignment/>
    </xf>
    <xf numFmtId="1" fontId="0" fillId="3" borderId="2" xfId="0" applyNumberFormat="1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6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 wrapText="1"/>
    </xf>
    <xf numFmtId="0" fontId="2" fillId="7" borderId="0" xfId="0" applyFont="1" applyFill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3" borderId="0" xfId="0" applyNumberFormat="1" applyFont="1" applyFill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15" applyNumberFormat="1" applyFill="1" applyAlignment="1">
      <alignment/>
    </xf>
    <xf numFmtId="1" fontId="0" fillId="0" borderId="1" xfId="15" applyNumberFormat="1" applyFill="1" applyBorder="1" applyAlignment="1">
      <alignment horizontal="center" wrapText="1"/>
    </xf>
    <xf numFmtId="1" fontId="0" fillId="3" borderId="0" xfId="15" applyNumberFormat="1" applyFill="1" applyAlignment="1">
      <alignment/>
    </xf>
    <xf numFmtId="1" fontId="0" fillId="3" borderId="2" xfId="15" applyNumberFormat="1" applyFill="1" applyBorder="1" applyAlignment="1">
      <alignment/>
    </xf>
    <xf numFmtId="1" fontId="0" fillId="0" borderId="0" xfId="15" applyNumberFormat="1" applyAlignment="1">
      <alignment/>
    </xf>
    <xf numFmtId="1" fontId="0" fillId="4" borderId="0" xfId="15" applyNumberFormat="1" applyFill="1" applyAlignment="1">
      <alignment/>
    </xf>
    <xf numFmtId="1" fontId="1" fillId="0" borderId="0" xfId="15" applyNumberFormat="1" applyFont="1" applyFill="1" applyAlignment="1">
      <alignment/>
    </xf>
    <xf numFmtId="0" fontId="6" fillId="0" borderId="0" xfId="23">
      <alignment/>
      <protection/>
    </xf>
    <xf numFmtId="165" fontId="6" fillId="0" borderId="0" xfId="23" applyNumberFormat="1">
      <alignment/>
      <protection/>
    </xf>
    <xf numFmtId="11" fontId="6" fillId="0" borderId="0" xfId="23" applyNumberFormat="1">
      <alignment/>
      <protection/>
    </xf>
    <xf numFmtId="169" fontId="6" fillId="0" borderId="0" xfId="23" applyNumberFormat="1">
      <alignment/>
      <protection/>
    </xf>
    <xf numFmtId="0" fontId="6" fillId="0" borderId="2" xfId="23" applyBorder="1">
      <alignment/>
      <protection/>
    </xf>
    <xf numFmtId="11" fontId="6" fillId="0" borderId="2" xfId="23" applyNumberFormat="1" applyBorder="1">
      <alignment/>
      <protection/>
    </xf>
    <xf numFmtId="169" fontId="6" fillId="0" borderId="2" xfId="23" applyNumberFormat="1" applyBorder="1">
      <alignment/>
      <protection/>
    </xf>
    <xf numFmtId="165" fontId="6" fillId="0" borderId="2" xfId="23" applyNumberFormat="1" applyBorder="1">
      <alignment/>
      <protection/>
    </xf>
    <xf numFmtId="1" fontId="6" fillId="0" borderId="0" xfId="15" applyNumberFormat="1" applyAlignment="1">
      <alignment/>
    </xf>
    <xf numFmtId="1" fontId="6" fillId="0" borderId="0" xfId="23" applyNumberFormat="1">
      <alignment/>
      <protection/>
    </xf>
    <xf numFmtId="1" fontId="6" fillId="0" borderId="0" xfId="23" applyNumberFormat="1" applyFont="1">
      <alignment/>
      <protection/>
    </xf>
    <xf numFmtId="1" fontId="6" fillId="0" borderId="2" xfId="15" applyNumberFormat="1" applyBorder="1" applyAlignment="1">
      <alignment/>
    </xf>
    <xf numFmtId="0" fontId="9" fillId="0" borderId="0" xfId="23" applyFont="1">
      <alignment/>
      <protection/>
    </xf>
    <xf numFmtId="1" fontId="6" fillId="7" borderId="1" xfId="15" applyNumberFormat="1" applyFill="1" applyBorder="1" applyAlignment="1">
      <alignment/>
    </xf>
    <xf numFmtId="1" fontId="6" fillId="7" borderId="1" xfId="23" applyNumberFormat="1" applyFont="1" applyFill="1" applyBorder="1">
      <alignment/>
      <protection/>
    </xf>
    <xf numFmtId="1" fontId="0" fillId="3" borderId="0" xfId="0" applyNumberForma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BR_May_13_Localizations.xls" xfId="20"/>
    <cellStyle name="Hyperlink" xfId="21"/>
    <cellStyle name="Hyperlink_BR_May_13_Localizations.xls" xfId="22"/>
    <cellStyle name="Normal_BR_May_13_Localizations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Bearing and range comparison
 dingy on starboard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bearings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sheet'!$K$5:$K$16</c:f>
              <c:numCache>
                <c:ptCount val="12"/>
                <c:pt idx="0">
                  <c:v>28</c:v>
                </c:pt>
                <c:pt idx="1">
                  <c:v>30</c:v>
                </c:pt>
                <c:pt idx="2">
                  <c:v>77.5</c:v>
                </c:pt>
                <c:pt idx="3">
                  <c:v>88</c:v>
                </c:pt>
                <c:pt idx="4">
                  <c:v>99</c:v>
                </c:pt>
                <c:pt idx="5">
                  <c:v>124</c:v>
                </c:pt>
                <c:pt idx="6">
                  <c:v>137</c:v>
                </c:pt>
                <c:pt idx="7">
                  <c:v>149.5</c:v>
                </c:pt>
                <c:pt idx="8">
                  <c:v>151</c:v>
                </c:pt>
                <c:pt idx="9">
                  <c:v>157</c:v>
                </c:pt>
                <c:pt idx="10">
                  <c:v>161</c:v>
                </c:pt>
                <c:pt idx="11">
                  <c:v>160</c:v>
                </c:pt>
              </c:numCache>
            </c:numRef>
          </c:xVal>
          <c:yVal>
            <c:numRef>
              <c:f>'Data sheet'!$P$5:$P$16</c:f>
              <c:numCache>
                <c:ptCount val="12"/>
                <c:pt idx="2">
                  <c:v>229.4750614676742</c:v>
                </c:pt>
                <c:pt idx="3">
                  <c:v>247.50028906512858</c:v>
                </c:pt>
                <c:pt idx="4">
                  <c:v>267.9105704465917</c:v>
                </c:pt>
                <c:pt idx="5">
                  <c:v>280.23702216815417</c:v>
                </c:pt>
                <c:pt idx="6">
                  <c:v>299.7316776807869</c:v>
                </c:pt>
                <c:pt idx="7">
                  <c:v>313.9430028878334</c:v>
                </c:pt>
                <c:pt idx="8">
                  <c:v>322.1843103955017</c:v>
                </c:pt>
                <c:pt idx="9">
                  <c:v>325.20756081205997</c:v>
                </c:pt>
                <c:pt idx="10">
                  <c:v>318.58791148792204</c:v>
                </c:pt>
                <c:pt idx="11">
                  <c:v>317.3979117735031</c:v>
                </c:pt>
              </c:numCache>
            </c:numRef>
          </c:yVal>
          <c:smooth val="0"/>
        </c:ser>
        <c:ser>
          <c:idx val="1"/>
          <c:order val="1"/>
          <c:tx>
            <c:v>ranges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sheet'!$F$5:$F$13</c:f>
              <c:numCache>
                <c:ptCount val="9"/>
                <c:pt idx="0">
                  <c:v>143.95</c:v>
                </c:pt>
                <c:pt idx="1">
                  <c:v>117.48599999999999</c:v>
                </c:pt>
                <c:pt idx="2">
                  <c:v>79.114</c:v>
                </c:pt>
                <c:pt idx="3">
                  <c:v>73.262</c:v>
                </c:pt>
                <c:pt idx="4">
                  <c:v>76.614</c:v>
                </c:pt>
                <c:pt idx="5">
                  <c:v>89.52199999999999</c:v>
                </c:pt>
                <c:pt idx="6">
                  <c:v>113.134</c:v>
                </c:pt>
                <c:pt idx="7">
                  <c:v>148.07999999999998</c:v>
                </c:pt>
                <c:pt idx="8">
                  <c:v>176.39600000000002</c:v>
                </c:pt>
              </c:numCache>
            </c:numRef>
          </c:xVal>
          <c:yVal>
            <c:numRef>
              <c:f>'Data sheet'!$O$5:$O$13</c:f>
              <c:numCache>
                <c:ptCount val="9"/>
                <c:pt idx="2">
                  <c:v>102.9357255691539</c:v>
                </c:pt>
                <c:pt idx="3">
                  <c:v>82.76233511813341</c:v>
                </c:pt>
                <c:pt idx="4">
                  <c:v>88.63483536873036</c:v>
                </c:pt>
                <c:pt idx="5">
                  <c:v>134.65715854306717</c:v>
                </c:pt>
                <c:pt idx="6">
                  <c:v>191.79989237077191</c:v>
                </c:pt>
                <c:pt idx="7">
                  <c:v>175.28805234483139</c:v>
                </c:pt>
                <c:pt idx="8">
                  <c:v>384.4891634506928</c:v>
                </c:pt>
              </c:numCache>
            </c:numRef>
          </c:yVal>
          <c:smooth val="0"/>
        </c:ser>
        <c:ser>
          <c:idx val="2"/>
          <c:order val="2"/>
          <c:tx>
            <c:v>1:1 slope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sheet'!$A$35:$A$36</c:f>
              <c:numCache>
                <c:ptCount val="2"/>
                <c:pt idx="0">
                  <c:v>0</c:v>
                </c:pt>
                <c:pt idx="1">
                  <c:v>450</c:v>
                </c:pt>
              </c:numCache>
            </c:numRef>
          </c:xVal>
          <c:yVal>
            <c:numRef>
              <c:f>'Data sheet'!$B$35:$B$36</c:f>
              <c:numCache>
                <c:ptCount val="2"/>
                <c:pt idx="0">
                  <c:v>0</c:v>
                </c:pt>
                <c:pt idx="1">
                  <c:v>450</c:v>
                </c:pt>
              </c:numCache>
            </c:numRef>
          </c:yVal>
          <c:smooth val="0"/>
        </c:ser>
        <c:ser>
          <c:idx val="3"/>
          <c:order val="3"/>
          <c:tx>
            <c:v>adjusted bearings</c:v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sheet'!$K$5:$K$16</c:f>
              <c:numCache>
                <c:ptCount val="12"/>
                <c:pt idx="0">
                  <c:v>28</c:v>
                </c:pt>
                <c:pt idx="1">
                  <c:v>30</c:v>
                </c:pt>
                <c:pt idx="2">
                  <c:v>77.5</c:v>
                </c:pt>
                <c:pt idx="3">
                  <c:v>88</c:v>
                </c:pt>
                <c:pt idx="4">
                  <c:v>99</c:v>
                </c:pt>
                <c:pt idx="5">
                  <c:v>124</c:v>
                </c:pt>
                <c:pt idx="6">
                  <c:v>137</c:v>
                </c:pt>
                <c:pt idx="7">
                  <c:v>149.5</c:v>
                </c:pt>
                <c:pt idx="8">
                  <c:v>151</c:v>
                </c:pt>
                <c:pt idx="9">
                  <c:v>157</c:v>
                </c:pt>
                <c:pt idx="10">
                  <c:v>161</c:v>
                </c:pt>
                <c:pt idx="11">
                  <c:v>160</c:v>
                </c:pt>
              </c:numCache>
            </c:numRef>
          </c:xVal>
          <c:yVal>
            <c:numRef>
              <c:f>'Data sheet'!$U$5:$U$16</c:f>
              <c:numCache>
                <c:ptCount val="12"/>
                <c:pt idx="2">
                  <c:v>49.47506146767421</c:v>
                </c:pt>
                <c:pt idx="3">
                  <c:v>67.50028906512858</c:v>
                </c:pt>
                <c:pt idx="4">
                  <c:v>87.91057044659172</c:v>
                </c:pt>
                <c:pt idx="5">
                  <c:v>100.23702216815421</c:v>
                </c:pt>
                <c:pt idx="6">
                  <c:v>119.73167768078689</c:v>
                </c:pt>
                <c:pt idx="7">
                  <c:v>133.94300288783342</c:v>
                </c:pt>
                <c:pt idx="8">
                  <c:v>142.1843103955017</c:v>
                </c:pt>
                <c:pt idx="9">
                  <c:v>145.20756081206</c:v>
                </c:pt>
                <c:pt idx="10">
                  <c:v>138.58791148792204</c:v>
                </c:pt>
                <c:pt idx="11">
                  <c:v>137.3979117735031</c:v>
                </c:pt>
              </c:numCache>
            </c:numRef>
          </c:yVal>
          <c:smooth val="0"/>
        </c:ser>
        <c:axId val="1285039"/>
        <c:axId val="11565352"/>
      </c:scatterChart>
      <c:valAx>
        <c:axId val="128503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Visual data (m,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565352"/>
        <c:crosses val="autoZero"/>
        <c:crossBetween val="midCat"/>
        <c:dispUnits/>
        <c:majorUnit val="90"/>
        <c:minorUnit val="45"/>
      </c:valAx>
      <c:valAx>
        <c:axId val="11565352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Acoustic data (m,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85039"/>
        <c:crosses val="autoZero"/>
        <c:crossBetween val="midCat"/>
        <c:dispUnits/>
        <c:majorUnit val="90"/>
        <c:minorUnit val="4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Location comparison
dingy on starboard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0275"/>
          <c:w val="0.57525"/>
          <c:h val="0.7225"/>
        </c:manualLayout>
      </c:layout>
      <c:scatterChart>
        <c:scatterStyle val="lineMarker"/>
        <c:varyColors val="0"/>
        <c:ser>
          <c:idx val="0"/>
          <c:order val="0"/>
          <c:tx>
            <c:v>visual locations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sheet'!$L$5:$L$16</c:f>
              <c:numCache>
                <c:ptCount val="12"/>
                <c:pt idx="0">
                  <c:v>67.58054763449314</c:v>
                </c:pt>
                <c:pt idx="1">
                  <c:v>58.74308999723609</c:v>
                </c:pt>
                <c:pt idx="2">
                  <c:v>77.23868546273573</c:v>
                </c:pt>
                <c:pt idx="3">
                  <c:v>73.2173708444587</c:v>
                </c:pt>
                <c:pt idx="4">
                  <c:v>75.6707561165282</c:v>
                </c:pt>
                <c:pt idx="5">
                  <c:v>74.21712666205215</c:v>
                </c:pt>
                <c:pt idx="6">
                  <c:v>77.15725979700248</c:v>
                </c:pt>
                <c:pt idx="7">
                  <c:v>75.15639270393005</c:v>
                </c:pt>
                <c:pt idx="8">
                  <c:v>85.51861651211387</c:v>
                </c:pt>
                <c:pt idx="9">
                  <c:v>82.25221979106159</c:v>
                </c:pt>
                <c:pt idx="10">
                  <c:v>77.51866435453732</c:v>
                </c:pt>
                <c:pt idx="11">
                  <c:v>97.27080454936585</c:v>
                </c:pt>
              </c:numCache>
            </c:numRef>
          </c:xVal>
          <c:yVal>
            <c:numRef>
              <c:f>'Data sheet'!$M$5:$M$16</c:f>
              <c:numCache>
                <c:ptCount val="12"/>
                <c:pt idx="0">
                  <c:v>127.10024422251124</c:v>
                </c:pt>
                <c:pt idx="1">
                  <c:v>101.745808629037</c:v>
                </c:pt>
                <c:pt idx="2">
                  <c:v>17.123389383780797</c:v>
                </c:pt>
                <c:pt idx="3">
                  <c:v>2.556804768653427</c:v>
                </c:pt>
                <c:pt idx="4">
                  <c:v>-11.985060064635052</c:v>
                </c:pt>
                <c:pt idx="5">
                  <c:v>-50.06002990439485</c:v>
                </c:pt>
                <c:pt idx="6">
                  <c:v>-82.74091621814362</c:v>
                </c:pt>
                <c:pt idx="7">
                  <c:v>-127.58998015413533</c:v>
                </c:pt>
                <c:pt idx="8">
                  <c:v>-154.27934095611766</c:v>
                </c:pt>
                <c:pt idx="9">
                  <c:v>-193.77355444807964</c:v>
                </c:pt>
                <c:pt idx="10">
                  <c:v>-225.12978274917023</c:v>
                </c:pt>
                <c:pt idx="11">
                  <c:v>-267.24848097289356</c:v>
                </c:pt>
              </c:numCache>
            </c:numRef>
          </c:yVal>
          <c:smooth val="0"/>
        </c:ser>
        <c:ser>
          <c:idx val="1"/>
          <c:order val="1"/>
          <c:tx>
            <c:v>acoustic locations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sheet'!$R$5:$R$13</c:f>
              <c:numCache>
                <c:ptCount val="9"/>
                <c:pt idx="2">
                  <c:v>78.24387463213294</c:v>
                </c:pt>
                <c:pt idx="3">
                  <c:v>76.46259777121121</c:v>
                </c:pt>
                <c:pt idx="4">
                  <c:v>88.57590545783498</c:v>
                </c:pt>
                <c:pt idx="5">
                  <c:v>132.51355184027187</c:v>
                </c:pt>
                <c:pt idx="6">
                  <c:v>166.5509076381971</c:v>
                </c:pt>
                <c:pt idx="7">
                  <c:v>126.21281954859454</c:v>
                </c:pt>
                <c:pt idx="8">
                  <c:v>235.73953797172925</c:v>
                </c:pt>
              </c:numCache>
            </c:numRef>
          </c:xVal>
          <c:yVal>
            <c:numRef>
              <c:f>'Data sheet'!$S$5:$S$13</c:f>
              <c:numCache>
                <c:ptCount val="9"/>
                <c:pt idx="2">
                  <c:v>-66.88542203648885</c:v>
                </c:pt>
                <c:pt idx="3">
                  <c:v>-31.671363347418193</c:v>
                </c:pt>
                <c:pt idx="4">
                  <c:v>-3.231565126469554</c:v>
                </c:pt>
                <c:pt idx="5">
                  <c:v>23.931337730438408</c:v>
                </c:pt>
                <c:pt idx="6">
                  <c:v>95.12094342642123</c:v>
                </c:pt>
                <c:pt idx="7">
                  <c:v>121.63973642045703</c:v>
                </c:pt>
                <c:pt idx="8">
                  <c:v>303.74131600407804</c:v>
                </c:pt>
              </c:numCache>
            </c:numRef>
          </c:yVal>
          <c:smooth val="0"/>
        </c:ser>
        <c:ser>
          <c:idx val="2"/>
          <c:order val="2"/>
          <c:tx>
            <c:v>adjusted acoustic locs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sheet'!$V$5:$V$13</c:f>
              <c:numCache>
                <c:ptCount val="9"/>
                <c:pt idx="2">
                  <c:v>78.24387463213294</c:v>
                </c:pt>
                <c:pt idx="3">
                  <c:v>76.46259777121121</c:v>
                </c:pt>
                <c:pt idx="4">
                  <c:v>88.57590545783498</c:v>
                </c:pt>
                <c:pt idx="5">
                  <c:v>132.51355184027187</c:v>
                </c:pt>
                <c:pt idx="6">
                  <c:v>166.5509076381971</c:v>
                </c:pt>
                <c:pt idx="7">
                  <c:v>126.2128195485945</c:v>
                </c:pt>
                <c:pt idx="8">
                  <c:v>235.73953797172925</c:v>
                </c:pt>
              </c:numCache>
            </c:numRef>
          </c:xVal>
          <c:yVal>
            <c:numRef>
              <c:f>'Data sheet'!$W$5:$W$13</c:f>
              <c:numCache>
                <c:ptCount val="9"/>
                <c:pt idx="2">
                  <c:v>66.88542203648885</c:v>
                </c:pt>
                <c:pt idx="3">
                  <c:v>31.671363347418193</c:v>
                </c:pt>
                <c:pt idx="4">
                  <c:v>3.231565126469554</c:v>
                </c:pt>
                <c:pt idx="5">
                  <c:v>-23.931337730438408</c:v>
                </c:pt>
                <c:pt idx="6">
                  <c:v>-95.12094342642123</c:v>
                </c:pt>
                <c:pt idx="7">
                  <c:v>-121.63973642045707</c:v>
                </c:pt>
                <c:pt idx="8">
                  <c:v>-303.74131600407804</c:v>
                </c:pt>
              </c:numCache>
            </c:numRef>
          </c:yVal>
          <c:smooth val="0"/>
        </c:ser>
        <c:axId val="36979305"/>
        <c:axId val="64378290"/>
      </c:scatterChart>
      <c:valAx>
        <c:axId val="36979305"/>
        <c:scaling>
          <c:orientation val="minMax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78290"/>
        <c:crossesAt val="-300"/>
        <c:crossBetween val="midCat"/>
        <c:dispUnits/>
        <c:majorUnit val="150"/>
        <c:minorUnit val="50"/>
      </c:valAx>
      <c:valAx>
        <c:axId val="64378290"/>
        <c:scaling>
          <c:orientation val="minMax"/>
          <c:max val="3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At val="-300"/>
        <c:crossBetween val="midCat"/>
        <c:dispUnits/>
        <c:majorUnit val="150"/>
        <c:minorUnit val="5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3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Bearing and range comparison
dingy on 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v>bearings</c:v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sheet'!$K$18:$K$32</c:f>
              <c:numCache>
                <c:ptCount val="15"/>
                <c:pt idx="0">
                  <c:v>342</c:v>
                </c:pt>
                <c:pt idx="1">
                  <c:v>338</c:v>
                </c:pt>
                <c:pt idx="2">
                  <c:v>331</c:v>
                </c:pt>
                <c:pt idx="3">
                  <c:v>319</c:v>
                </c:pt>
                <c:pt idx="4">
                  <c:v>316</c:v>
                </c:pt>
                <c:pt idx="5">
                  <c:v>298</c:v>
                </c:pt>
                <c:pt idx="7">
                  <c:v>225</c:v>
                </c:pt>
                <c:pt idx="8">
                  <c:v>216</c:v>
                </c:pt>
                <c:pt idx="9">
                  <c:v>203</c:v>
                </c:pt>
                <c:pt idx="10">
                  <c:v>192</c:v>
                </c:pt>
                <c:pt idx="11">
                  <c:v>192.5</c:v>
                </c:pt>
                <c:pt idx="12">
                  <c:v>185</c:v>
                </c:pt>
                <c:pt idx="13">
                  <c:v>185</c:v>
                </c:pt>
              </c:numCache>
            </c:numRef>
          </c:xVal>
          <c:yVal>
            <c:numRef>
              <c:f>'Data sheet'!$Q$18:$Q$32</c:f>
              <c:numCache>
                <c:ptCount val="15"/>
                <c:pt idx="0">
                  <c:v>157.8645662206298</c:v>
                </c:pt>
                <c:pt idx="1">
                  <c:v>154.3073108795634</c:v>
                </c:pt>
                <c:pt idx="2">
                  <c:v>149.90679263931304</c:v>
                </c:pt>
              </c:numCache>
            </c:numRef>
          </c:yVal>
          <c:smooth val="0"/>
        </c:ser>
        <c:ser>
          <c:idx val="5"/>
          <c:order val="1"/>
          <c:tx>
            <c:v>ranges</c:v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sheet'!$F$18:$F$32</c:f>
              <c:numCache>
                <c:ptCount val="15"/>
                <c:pt idx="0">
                  <c:v>233.194</c:v>
                </c:pt>
                <c:pt idx="1">
                  <c:v>198.952</c:v>
                </c:pt>
                <c:pt idx="2">
                  <c:v>164.71</c:v>
                </c:pt>
                <c:pt idx="3">
                  <c:v>121.708</c:v>
                </c:pt>
                <c:pt idx="4">
                  <c:v>103.152</c:v>
                </c:pt>
                <c:pt idx="5">
                  <c:v>77.392</c:v>
                </c:pt>
                <c:pt idx="6">
                  <c:v>64</c:v>
                </c:pt>
                <c:pt idx="7">
                  <c:v>73.262</c:v>
                </c:pt>
                <c:pt idx="8">
                  <c:v>95.80000000000001</c:v>
                </c:pt>
                <c:pt idx="9">
                  <c:v>134.302</c:v>
                </c:pt>
                <c:pt idx="10">
                  <c:v>160</c:v>
                </c:pt>
                <c:pt idx="11">
                  <c:v>199</c:v>
                </c:pt>
                <c:pt idx="12">
                  <c:v>242</c:v>
                </c:pt>
                <c:pt idx="13">
                  <c:v>285.512</c:v>
                </c:pt>
              </c:numCache>
            </c:numRef>
          </c:xVal>
          <c:yVal>
            <c:numRef>
              <c:f>'Data sheet'!$O$18:$O$32</c:f>
              <c:numCache>
                <c:ptCount val="15"/>
                <c:pt idx="0">
                  <c:v>39.85749805564148</c:v>
                </c:pt>
                <c:pt idx="1">
                  <c:v>53.20227756507242</c:v>
                </c:pt>
                <c:pt idx="2">
                  <c:v>74.39119188797201</c:v>
                </c:pt>
              </c:numCache>
            </c:numRef>
          </c:yVal>
          <c:smooth val="0"/>
        </c:ser>
        <c:ser>
          <c:idx val="6"/>
          <c:order val="2"/>
          <c:tx>
            <c:v>1:1 slope</c:v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sheet'!$A$35:$A$36</c:f>
              <c:numCache>
                <c:ptCount val="2"/>
                <c:pt idx="0">
                  <c:v>0</c:v>
                </c:pt>
                <c:pt idx="1">
                  <c:v>450</c:v>
                </c:pt>
              </c:numCache>
            </c:numRef>
          </c:xVal>
          <c:yVal>
            <c:numRef>
              <c:f>'Data sheet'!$B$35:$B$36</c:f>
              <c:numCache>
                <c:ptCount val="2"/>
                <c:pt idx="0">
                  <c:v>0</c:v>
                </c:pt>
                <c:pt idx="1">
                  <c:v>450</c:v>
                </c:pt>
              </c:numCache>
            </c:numRef>
          </c:yVal>
          <c:smooth val="0"/>
        </c:ser>
        <c:ser>
          <c:idx val="7"/>
          <c:order val="3"/>
          <c:tx>
            <c:v>adjusted bearings</c:v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sheet'!$K$18:$K$32</c:f>
              <c:numCache>
                <c:ptCount val="15"/>
                <c:pt idx="0">
                  <c:v>342</c:v>
                </c:pt>
                <c:pt idx="1">
                  <c:v>338</c:v>
                </c:pt>
                <c:pt idx="2">
                  <c:v>331</c:v>
                </c:pt>
                <c:pt idx="3">
                  <c:v>319</c:v>
                </c:pt>
                <c:pt idx="4">
                  <c:v>316</c:v>
                </c:pt>
                <c:pt idx="5">
                  <c:v>298</c:v>
                </c:pt>
                <c:pt idx="7">
                  <c:v>225</c:v>
                </c:pt>
                <c:pt idx="8">
                  <c:v>216</c:v>
                </c:pt>
                <c:pt idx="9">
                  <c:v>203</c:v>
                </c:pt>
                <c:pt idx="10">
                  <c:v>192</c:v>
                </c:pt>
                <c:pt idx="11">
                  <c:v>192.5</c:v>
                </c:pt>
                <c:pt idx="12">
                  <c:v>185</c:v>
                </c:pt>
                <c:pt idx="13">
                  <c:v>185</c:v>
                </c:pt>
              </c:numCache>
            </c:numRef>
          </c:xVal>
          <c:yVal>
            <c:numRef>
              <c:f>'Data sheet'!$T$18:$T$32</c:f>
              <c:numCache>
                <c:ptCount val="15"/>
                <c:pt idx="0">
                  <c:v>337.86456622062985</c:v>
                </c:pt>
                <c:pt idx="1">
                  <c:v>334.3073108795634</c:v>
                </c:pt>
                <c:pt idx="2">
                  <c:v>329.90679263931304</c:v>
                </c:pt>
              </c:numCache>
            </c:numRef>
          </c:yVal>
          <c:smooth val="0"/>
        </c:ser>
        <c:axId val="42533699"/>
        <c:axId val="47258972"/>
      </c:scatterChart>
      <c:valAx>
        <c:axId val="4253369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Visual data (m,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258972"/>
        <c:crosses val="autoZero"/>
        <c:crossBetween val="midCat"/>
        <c:dispUnits/>
        <c:majorUnit val="90"/>
        <c:minorUnit val="45"/>
      </c:valAx>
      <c:valAx>
        <c:axId val="47258972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Acoustic data (m, 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533699"/>
        <c:crosses val="autoZero"/>
        <c:crossBetween val="midCat"/>
        <c:dispUnits/>
        <c:majorUnit val="90"/>
        <c:minorUnit val="4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Location comparison
dingy on 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visual locations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sheet'!$L$18:$L$32</c:f>
              <c:numCache>
                <c:ptCount val="15"/>
                <c:pt idx="0">
                  <c:v>-72.06173290667763</c:v>
                </c:pt>
                <c:pt idx="1">
                  <c:v>-74.52940538764852</c:v>
                </c:pt>
                <c:pt idx="2">
                  <c:v>-79.85350437062253</c:v>
                </c:pt>
                <c:pt idx="3">
                  <c:v>-79.84794239562882</c:v>
                </c:pt>
                <c:pt idx="4">
                  <c:v>-71.65564744797229</c:v>
                </c:pt>
                <c:pt idx="5">
                  <c:v>-68.33319151770591</c:v>
                </c:pt>
                <c:pt idx="7">
                  <c:v>-51.80395390314855</c:v>
                </c:pt>
                <c:pt idx="8">
                  <c:v>-56.3096832051648</c:v>
                </c:pt>
                <c:pt idx="9">
                  <c:v>-52.47576607469877</c:v>
                </c:pt>
                <c:pt idx="10">
                  <c:v>-33.26563519617818</c:v>
                </c:pt>
                <c:pt idx="11">
                  <c:v>-43.07118959818152</c:v>
                </c:pt>
                <c:pt idx="12">
                  <c:v>-21.09135211222933</c:v>
                </c:pt>
                <c:pt idx="13">
                  <c:v>-24.883612083747195</c:v>
                </c:pt>
              </c:numCache>
            </c:numRef>
          </c:xVal>
          <c:yVal>
            <c:numRef>
              <c:f>'Data sheet'!$M$18:$M$32</c:f>
              <c:numCache>
                <c:ptCount val="15"/>
                <c:pt idx="0">
                  <c:v>221.7804055512719</c:v>
                </c:pt>
                <c:pt idx="1">
                  <c:v>184.46480975124646</c:v>
                </c:pt>
                <c:pt idx="2">
                  <c:v>144.05832825536666</c:v>
                </c:pt>
                <c:pt idx="3">
                  <c:v>91.85392402714399</c:v>
                </c:pt>
                <c:pt idx="4">
                  <c:v>74.20110034771656</c:v>
                </c:pt>
                <c:pt idx="5">
                  <c:v>36.333133652418745</c:v>
                </c:pt>
                <c:pt idx="7">
                  <c:v>-51.80416010322395</c:v>
                </c:pt>
                <c:pt idx="8">
                  <c:v>-77.50393265721412</c:v>
                </c:pt>
                <c:pt idx="9">
                  <c:v>-123.62573024606768</c:v>
                </c:pt>
                <c:pt idx="10">
                  <c:v>-156.50366613915085</c:v>
                </c:pt>
                <c:pt idx="11">
                  <c:v>-194.28297050075568</c:v>
                </c:pt>
                <c:pt idx="12">
                  <c:v>-241.0791464769982</c:v>
                </c:pt>
                <c:pt idx="13">
                  <c:v>-284.4255754914906</c:v>
                </c:pt>
              </c:numCache>
            </c:numRef>
          </c:yVal>
          <c:smooth val="0"/>
        </c:ser>
        <c:ser>
          <c:idx val="1"/>
          <c:order val="1"/>
          <c:tx>
            <c:v>acoustic locations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sheet'!$R$18:$R$32</c:f>
              <c:numCache>
                <c:ptCount val="15"/>
                <c:pt idx="0">
                  <c:v>-15.01813223190978</c:v>
                </c:pt>
                <c:pt idx="1">
                  <c:v>-23.06545202126942</c:v>
                </c:pt>
                <c:pt idx="2">
                  <c:v>-37.30023717905052</c:v>
                </c:pt>
              </c:numCache>
            </c:numRef>
          </c:xVal>
          <c:yVal>
            <c:numRef>
              <c:f>'Data sheet'!$S$18:$S$32</c:f>
              <c:numCache>
                <c:ptCount val="15"/>
                <c:pt idx="0">
                  <c:v>-36.919857197994915</c:v>
                </c:pt>
                <c:pt idx="1">
                  <c:v>-47.94233266295589</c:v>
                </c:pt>
                <c:pt idx="2">
                  <c:v>-64.36413393264645</c:v>
                </c:pt>
              </c:numCache>
            </c:numRef>
          </c:yVal>
          <c:smooth val="0"/>
        </c:ser>
        <c:ser>
          <c:idx val="2"/>
          <c:order val="2"/>
          <c:tx>
            <c:v>adjusted acoustic locs</c:v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sheet'!$V$18:$V$32</c:f>
              <c:numCache>
                <c:ptCount val="15"/>
                <c:pt idx="0">
                  <c:v>-15.018328172010712</c:v>
                </c:pt>
                <c:pt idx="1">
                  <c:v>-23.065706459513876</c:v>
                </c:pt>
                <c:pt idx="2">
                  <c:v>-37.30057877054297</c:v>
                </c:pt>
              </c:numCache>
            </c:numRef>
          </c:xVal>
          <c:yVal>
            <c:numRef>
              <c:f>'Data sheet'!$W$18:$W$32</c:f>
              <c:numCache>
                <c:ptCount val="15"/>
                <c:pt idx="0">
                  <c:v>36.91977749355017</c:v>
                </c:pt>
                <c:pt idx="1">
                  <c:v>47.942210249784566</c:v>
                </c:pt>
                <c:pt idx="2">
                  <c:v>64.36393597268265</c:v>
                </c:pt>
              </c:numCache>
            </c:numRef>
          </c:yVal>
          <c:smooth val="0"/>
        </c:ser>
        <c:axId val="22677565"/>
        <c:axId val="2771494"/>
      </c:scatterChart>
      <c:valAx>
        <c:axId val="22677565"/>
        <c:scaling>
          <c:orientation val="minMax"/>
          <c:max val="30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1494"/>
        <c:crossesAt val="-300"/>
        <c:crossBetween val="midCat"/>
        <c:dispUnits/>
        <c:majorUnit val="150"/>
        <c:minorUnit val="50"/>
      </c:valAx>
      <c:valAx>
        <c:axId val="2771494"/>
        <c:scaling>
          <c:orientation val="minMax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77565"/>
        <c:crossesAt val="-300"/>
        <c:crossBetween val="midCat"/>
        <c:dispUnits/>
        <c:majorUnit val="150"/>
        <c:minorUnit val="5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685800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0"/>
        <a:ext cx="4029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0</xdr:row>
      <xdr:rowOff>0</xdr:rowOff>
    </xdr:from>
    <xdr:to>
      <xdr:col>10</xdr:col>
      <xdr:colOff>695325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5048250" y="0"/>
        <a:ext cx="4029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685800</xdr:colOff>
      <xdr:row>46</xdr:row>
      <xdr:rowOff>38100</xdr:rowOff>
    </xdr:to>
    <xdr:graphicFrame>
      <xdr:nvGraphicFramePr>
        <xdr:cNvPr id="3" name="Shape 1"/>
        <xdr:cNvGraphicFramePr/>
      </xdr:nvGraphicFramePr>
      <xdr:xfrm>
        <a:off x="0" y="3886200"/>
        <a:ext cx="40386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10</xdr:col>
      <xdr:colOff>685800</xdr:colOff>
      <xdr:row>46</xdr:row>
      <xdr:rowOff>38100</xdr:rowOff>
    </xdr:to>
    <xdr:graphicFrame>
      <xdr:nvGraphicFramePr>
        <xdr:cNvPr id="4" name="Shape 2"/>
        <xdr:cNvGraphicFramePr/>
      </xdr:nvGraphicFramePr>
      <xdr:xfrm>
        <a:off x="5029200" y="3886200"/>
        <a:ext cx="40386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workbookViewId="0" topLeftCell="A1">
      <pane xSplit="7" ySplit="3" topLeftCell="O5" activePane="bottomRight" state="frozen"/>
      <selection pane="topLeft" activeCell="A1" sqref="A1"/>
      <selection pane="topRight" activeCell="N1" sqref="N1"/>
      <selection pane="bottomLeft" activeCell="A4" sqref="A4"/>
      <selection pane="bottomRight" activeCell="P39" sqref="P39:P45"/>
    </sheetView>
  </sheetViews>
  <sheetFormatPr defaultColWidth="11.00390625" defaultRowHeight="12.75"/>
  <cols>
    <col min="1" max="3" width="4.125" style="0" customWidth="1"/>
    <col min="4" max="4" width="8.375" style="0" customWidth="1"/>
    <col min="5" max="6" width="7.00390625" style="0" customWidth="1"/>
    <col min="7" max="7" width="7.375" style="4" customWidth="1"/>
    <col min="8" max="8" width="7.00390625" style="0" customWidth="1"/>
    <col min="9" max="9" width="6.75390625" style="0" customWidth="1"/>
    <col min="10" max="11" width="7.375" style="0" customWidth="1"/>
    <col min="12" max="13" width="7.375" style="42" customWidth="1"/>
    <col min="14" max="14" width="43.00390625" style="7" customWidth="1"/>
  </cols>
  <sheetData>
    <row r="2" spans="1:21" ht="12.75">
      <c r="A2" s="11" t="s">
        <v>0</v>
      </c>
      <c r="B2" s="12"/>
      <c r="C2" s="12"/>
      <c r="E2" s="1">
        <v>1852</v>
      </c>
      <c r="F2" t="s">
        <v>4</v>
      </c>
      <c r="H2" s="10" t="s">
        <v>2</v>
      </c>
      <c r="I2" s="9"/>
      <c r="J2" s="9"/>
      <c r="K2" s="34"/>
      <c r="L2" s="44" t="s">
        <v>54</v>
      </c>
      <c r="M2" s="38"/>
      <c r="O2" s="29" t="s">
        <v>48</v>
      </c>
      <c r="Q2" s="32" t="s">
        <v>49</v>
      </c>
      <c r="R2" s="30"/>
      <c r="S2" s="30"/>
      <c r="T2" s="30"/>
      <c r="U2" s="30"/>
    </row>
    <row r="3" spans="1:23" s="8" customFormat="1" ht="39.75" thickBot="1">
      <c r="A3" s="27" t="s">
        <v>5</v>
      </c>
      <c r="B3" s="27" t="s">
        <v>6</v>
      </c>
      <c r="C3" s="27" t="s">
        <v>7</v>
      </c>
      <c r="D3" s="22" t="s">
        <v>47</v>
      </c>
      <c r="E3" s="15" t="s">
        <v>40</v>
      </c>
      <c r="F3" s="33" t="s">
        <v>50</v>
      </c>
      <c r="G3" s="28" t="s">
        <v>1</v>
      </c>
      <c r="H3" s="15" t="s">
        <v>37</v>
      </c>
      <c r="I3" s="15" t="s">
        <v>38</v>
      </c>
      <c r="J3" s="15" t="s">
        <v>3</v>
      </c>
      <c r="K3" s="33" t="s">
        <v>51</v>
      </c>
      <c r="L3" s="39" t="s">
        <v>52</v>
      </c>
      <c r="M3" s="39" t="s">
        <v>53</v>
      </c>
      <c r="N3" s="22" t="s">
        <v>8</v>
      </c>
      <c r="O3" s="58" t="s">
        <v>63</v>
      </c>
      <c r="P3" s="58" t="s">
        <v>51</v>
      </c>
      <c r="Q3" s="58" t="s">
        <v>64</v>
      </c>
      <c r="R3" s="59" t="s">
        <v>86</v>
      </c>
      <c r="S3" s="59" t="s">
        <v>87</v>
      </c>
      <c r="T3" s="31" t="s">
        <v>91</v>
      </c>
      <c r="U3" s="31" t="s">
        <v>88</v>
      </c>
      <c r="V3" s="59" t="s">
        <v>86</v>
      </c>
      <c r="W3" s="59" t="s">
        <v>87</v>
      </c>
    </row>
    <row r="4" spans="7:22" s="2" customFormat="1" ht="64.5">
      <c r="G4" s="5"/>
      <c r="L4" s="40"/>
      <c r="M4" s="40"/>
      <c r="N4" s="23" t="s">
        <v>41</v>
      </c>
      <c r="R4" s="2" t="s">
        <v>89</v>
      </c>
      <c r="V4" s="2" t="s">
        <v>92</v>
      </c>
    </row>
    <row r="5" spans="1:14" s="2" customFormat="1" ht="12.75">
      <c r="A5" s="2">
        <v>10</v>
      </c>
      <c r="B5" s="2">
        <v>3</v>
      </c>
      <c r="C5" s="2">
        <v>27</v>
      </c>
      <c r="D5" s="2">
        <v>149</v>
      </c>
      <c r="E5" s="13">
        <f aca="true" t="shared" si="0" ref="E5:E31">J5*$E$2</f>
        <v>138.9</v>
      </c>
      <c r="F5" s="13">
        <f>AVERAGE(D5:E5)</f>
        <v>143.95</v>
      </c>
      <c r="G5" s="5" t="s">
        <v>10</v>
      </c>
      <c r="H5" s="2">
        <v>28</v>
      </c>
      <c r="J5" s="2">
        <v>0.075</v>
      </c>
      <c r="K5" s="35">
        <f>AVERAGE(H5:I5)</f>
        <v>28</v>
      </c>
      <c r="L5" s="40">
        <f>COS((90-K5)*3.14159/180)*F5</f>
        <v>67.58054763449314</v>
      </c>
      <c r="M5" s="40">
        <f>SIN((90-K5)*3.14159/180)*F5</f>
        <v>127.10024422251124</v>
      </c>
      <c r="N5" s="23"/>
    </row>
    <row r="6" spans="1:20" s="2" customFormat="1" ht="12.75">
      <c r="A6" s="2">
        <v>10</v>
      </c>
      <c r="B6" s="2">
        <v>3</v>
      </c>
      <c r="C6" s="2">
        <v>43</v>
      </c>
      <c r="D6" s="2">
        <v>122</v>
      </c>
      <c r="E6" s="13">
        <f t="shared" si="0"/>
        <v>112.972</v>
      </c>
      <c r="F6" s="13">
        <f aca="true" t="shared" si="1" ref="F6:F31">AVERAGE(D6:E6)</f>
        <v>117.48599999999999</v>
      </c>
      <c r="G6" s="5" t="s">
        <v>11</v>
      </c>
      <c r="H6" s="2">
        <v>30</v>
      </c>
      <c r="J6" s="2">
        <v>0.061</v>
      </c>
      <c r="K6" s="35">
        <f aca="true" t="shared" si="2" ref="K6:K16">AVERAGE(H6:I6)</f>
        <v>30</v>
      </c>
      <c r="L6" s="40">
        <f aca="true" t="shared" si="3" ref="L6:L31">COS((90-K6)*3.14159/180)*F6</f>
        <v>58.74308999723609</v>
      </c>
      <c r="M6" s="40">
        <f aca="true" t="shared" si="4" ref="M6:M31">SIN((90-K6)*3.14159/180)*F6</f>
        <v>101.745808629037</v>
      </c>
      <c r="N6" s="23"/>
      <c r="T6" s="13"/>
    </row>
    <row r="7" spans="1:23" s="2" customFormat="1" ht="12.75">
      <c r="A7" s="2">
        <v>10</v>
      </c>
      <c r="B7" s="2">
        <v>4</v>
      </c>
      <c r="C7" s="2">
        <v>32</v>
      </c>
      <c r="D7" s="2">
        <v>86</v>
      </c>
      <c r="E7" s="13">
        <f t="shared" si="0"/>
        <v>72.228</v>
      </c>
      <c r="F7" s="13">
        <f t="shared" si="1"/>
        <v>79.114</v>
      </c>
      <c r="G7" s="5" t="s">
        <v>12</v>
      </c>
      <c r="H7" s="2">
        <v>80</v>
      </c>
      <c r="I7" s="2">
        <v>75</v>
      </c>
      <c r="J7" s="2">
        <v>0.039</v>
      </c>
      <c r="K7" s="35">
        <f t="shared" si="2"/>
        <v>77.5</v>
      </c>
      <c r="L7" s="40">
        <f t="shared" si="3"/>
        <v>77.23868546273573</v>
      </c>
      <c r="M7" s="40">
        <f t="shared" si="4"/>
        <v>17.123389383780797</v>
      </c>
      <c r="N7" s="23"/>
      <c r="O7" s="13">
        <f>Ishmael!I9</f>
        <v>102.9357255691539</v>
      </c>
      <c r="P7" s="13">
        <f>Ishmael!J9</f>
        <v>229.4750614676742</v>
      </c>
      <c r="Q7" s="13">
        <f>Ishmael!K9</f>
        <v>130.5249385323258</v>
      </c>
      <c r="R7" s="13">
        <f>Ishmael!L9</f>
        <v>78.24387463213294</v>
      </c>
      <c r="S7" s="13">
        <f>Ishmael!M9</f>
        <v>-66.88542203648885</v>
      </c>
      <c r="T7" s="13">
        <f>360+180-P7</f>
        <v>310.5249385323258</v>
      </c>
      <c r="U7" s="13">
        <f>180-Q7</f>
        <v>49.47506146767421</v>
      </c>
      <c r="V7" s="13">
        <f>O7*COS((90-U7)*3.14159/180)</f>
        <v>78.24387463213294</v>
      </c>
      <c r="W7" s="13">
        <f>O7*SIN((90-U7)*3.14159/180)</f>
        <v>66.88542203648885</v>
      </c>
    </row>
    <row r="8" spans="1:23" s="2" customFormat="1" ht="12.75">
      <c r="A8" s="2">
        <v>10</v>
      </c>
      <c r="B8" s="2">
        <v>4</v>
      </c>
      <c r="C8" s="2">
        <v>59</v>
      </c>
      <c r="D8" s="2">
        <v>78</v>
      </c>
      <c r="E8" s="13">
        <f t="shared" si="0"/>
        <v>68.524</v>
      </c>
      <c r="F8" s="13">
        <f t="shared" si="1"/>
        <v>73.262</v>
      </c>
      <c r="G8" s="5" t="s">
        <v>13</v>
      </c>
      <c r="H8" s="2">
        <v>90</v>
      </c>
      <c r="I8" s="2">
        <v>86</v>
      </c>
      <c r="J8" s="2">
        <v>0.037</v>
      </c>
      <c r="K8" s="35">
        <f t="shared" si="2"/>
        <v>88</v>
      </c>
      <c r="L8" s="40">
        <f t="shared" si="3"/>
        <v>73.2173708444587</v>
      </c>
      <c r="M8" s="40">
        <f t="shared" si="4"/>
        <v>2.556804768653427</v>
      </c>
      <c r="N8" s="23"/>
      <c r="O8" s="13">
        <f>Ishmael!I13</f>
        <v>82.76233511813341</v>
      </c>
      <c r="P8" s="13">
        <f>Ishmael!J13</f>
        <v>247.50028906512858</v>
      </c>
      <c r="Q8" s="13">
        <f>Ishmael!K13</f>
        <v>112.49971093487142</v>
      </c>
      <c r="R8" s="13">
        <f>Ishmael!L13</f>
        <v>76.46259777121121</v>
      </c>
      <c r="S8" s="13">
        <f>Ishmael!M13</f>
        <v>-31.671363347418193</v>
      </c>
      <c r="T8" s="13">
        <f aca="true" t="shared" si="5" ref="T8:T16">360+180-P8</f>
        <v>292.4997109348714</v>
      </c>
      <c r="U8" s="13">
        <f aca="true" t="shared" si="6" ref="U8:U16">180-Q8</f>
        <v>67.50028906512858</v>
      </c>
      <c r="V8" s="13">
        <f aca="true" t="shared" si="7" ref="V8:V16">O8*COS((90-U8)*3.14159/180)</f>
        <v>76.46259777121121</v>
      </c>
      <c r="W8" s="13">
        <f aca="true" t="shared" si="8" ref="W8:W16">O8*SIN((90-U8)*3.14159/180)</f>
        <v>31.671363347418193</v>
      </c>
    </row>
    <row r="9" spans="1:23" s="2" customFormat="1" ht="12.75">
      <c r="A9" s="2">
        <v>10</v>
      </c>
      <c r="B9" s="2">
        <v>5</v>
      </c>
      <c r="C9" s="2">
        <v>23</v>
      </c>
      <c r="D9" s="2">
        <v>81</v>
      </c>
      <c r="E9" s="13">
        <f t="shared" si="0"/>
        <v>72.228</v>
      </c>
      <c r="F9" s="13">
        <f t="shared" si="1"/>
        <v>76.614</v>
      </c>
      <c r="G9" s="5" t="s">
        <v>14</v>
      </c>
      <c r="H9" s="2">
        <v>95</v>
      </c>
      <c r="I9" s="2">
        <v>103</v>
      </c>
      <c r="J9" s="2">
        <v>0.039</v>
      </c>
      <c r="K9" s="35">
        <f t="shared" si="2"/>
        <v>99</v>
      </c>
      <c r="L9" s="40">
        <f t="shared" si="3"/>
        <v>75.6707561165282</v>
      </c>
      <c r="M9" s="40">
        <f t="shared" si="4"/>
        <v>-11.985060064635052</v>
      </c>
      <c r="N9" s="23"/>
      <c r="O9" s="13">
        <f>Ishmael!I17</f>
        <v>88.63483536873036</v>
      </c>
      <c r="P9" s="13">
        <f>Ishmael!J17</f>
        <v>267.9105704465917</v>
      </c>
      <c r="Q9" s="13">
        <f>Ishmael!K17</f>
        <v>92.08942955340828</v>
      </c>
      <c r="R9" s="13">
        <f>Ishmael!L17</f>
        <v>88.57590545783498</v>
      </c>
      <c r="S9" s="13">
        <f>Ishmael!M17</f>
        <v>-3.231565126469554</v>
      </c>
      <c r="T9" s="13">
        <f t="shared" si="5"/>
        <v>272.0894295534083</v>
      </c>
      <c r="U9" s="13">
        <f t="shared" si="6"/>
        <v>87.91057044659172</v>
      </c>
      <c r="V9" s="13">
        <f t="shared" si="7"/>
        <v>88.57590545783498</v>
      </c>
      <c r="W9" s="13">
        <f t="shared" si="8"/>
        <v>3.231565126469554</v>
      </c>
    </row>
    <row r="10" spans="1:23" s="2" customFormat="1" ht="12.75">
      <c r="A10" s="2">
        <v>10</v>
      </c>
      <c r="B10" s="2">
        <v>5</v>
      </c>
      <c r="C10" s="2">
        <v>52</v>
      </c>
      <c r="D10" s="2">
        <v>92</v>
      </c>
      <c r="E10" s="13">
        <f t="shared" si="0"/>
        <v>87.044</v>
      </c>
      <c r="F10" s="13">
        <f t="shared" si="1"/>
        <v>89.52199999999999</v>
      </c>
      <c r="G10" s="5" t="s">
        <v>15</v>
      </c>
      <c r="H10" s="2">
        <v>124</v>
      </c>
      <c r="I10" s="2">
        <v>124</v>
      </c>
      <c r="J10" s="2">
        <v>0.047</v>
      </c>
      <c r="K10" s="35">
        <f t="shared" si="2"/>
        <v>124</v>
      </c>
      <c r="L10" s="40">
        <f t="shared" si="3"/>
        <v>74.21712666205215</v>
      </c>
      <c r="M10" s="40">
        <f t="shared" si="4"/>
        <v>-50.06002990439485</v>
      </c>
      <c r="N10" s="23"/>
      <c r="O10" s="13">
        <f>Ishmael!I21</f>
        <v>134.65715854306717</v>
      </c>
      <c r="P10" s="13">
        <f>Ishmael!J21</f>
        <v>280.23702216815417</v>
      </c>
      <c r="Q10" s="13">
        <f>Ishmael!K21</f>
        <v>79.76297783184579</v>
      </c>
      <c r="R10" s="13">
        <f>Ishmael!L21</f>
        <v>132.51355184027187</v>
      </c>
      <c r="S10" s="13">
        <f>Ishmael!M21</f>
        <v>23.931337730438408</v>
      </c>
      <c r="T10" s="13">
        <f t="shared" si="5"/>
        <v>259.76297783184583</v>
      </c>
      <c r="U10" s="13">
        <f t="shared" si="6"/>
        <v>100.23702216815421</v>
      </c>
      <c r="V10" s="13">
        <f t="shared" si="7"/>
        <v>132.51355184027187</v>
      </c>
      <c r="W10" s="13">
        <f t="shared" si="8"/>
        <v>-23.931337730438408</v>
      </c>
    </row>
    <row r="11" spans="1:23" s="2" customFormat="1" ht="12.75">
      <c r="A11" s="2">
        <v>10</v>
      </c>
      <c r="B11" s="2">
        <v>6</v>
      </c>
      <c r="C11" s="2">
        <v>20</v>
      </c>
      <c r="D11" s="2">
        <v>117</v>
      </c>
      <c r="E11" s="13">
        <f t="shared" si="0"/>
        <v>109.268</v>
      </c>
      <c r="F11" s="13">
        <f t="shared" si="1"/>
        <v>113.134</v>
      </c>
      <c r="G11" s="5" t="s">
        <v>16</v>
      </c>
      <c r="H11" s="2">
        <v>137</v>
      </c>
      <c r="I11" s="2">
        <v>137</v>
      </c>
      <c r="J11" s="2">
        <v>0.059</v>
      </c>
      <c r="K11" s="35">
        <f t="shared" si="2"/>
        <v>137</v>
      </c>
      <c r="L11" s="40">
        <f t="shared" si="3"/>
        <v>77.15725979700248</v>
      </c>
      <c r="M11" s="40">
        <f t="shared" si="4"/>
        <v>-82.74091621814362</v>
      </c>
      <c r="N11" s="23"/>
      <c r="O11" s="13">
        <f>Ishmael!I26</f>
        <v>191.79989237077191</v>
      </c>
      <c r="P11" s="13">
        <f>Ishmael!J26</f>
        <v>299.7316776807869</v>
      </c>
      <c r="Q11" s="13">
        <f>Ishmael!K26</f>
        <v>60.26832231921311</v>
      </c>
      <c r="R11" s="13">
        <f>Ishmael!L26</f>
        <v>166.5509076381971</v>
      </c>
      <c r="S11" s="13">
        <f>Ishmael!M26</f>
        <v>95.12094342642123</v>
      </c>
      <c r="T11" s="13">
        <f t="shared" si="5"/>
        <v>240.2683223192131</v>
      </c>
      <c r="U11" s="13">
        <f t="shared" si="6"/>
        <v>119.73167768078689</v>
      </c>
      <c r="V11" s="13">
        <f t="shared" si="7"/>
        <v>166.5509076381971</v>
      </c>
      <c r="W11" s="13">
        <f t="shared" si="8"/>
        <v>-95.12094342642123</v>
      </c>
    </row>
    <row r="12" spans="1:23" s="2" customFormat="1" ht="12.75">
      <c r="A12" s="2">
        <v>10</v>
      </c>
      <c r="B12" s="2">
        <v>6</v>
      </c>
      <c r="C12" s="2">
        <v>52</v>
      </c>
      <c r="D12" s="2">
        <v>148</v>
      </c>
      <c r="E12" s="13">
        <f t="shared" si="0"/>
        <v>148.16</v>
      </c>
      <c r="F12" s="13">
        <f t="shared" si="1"/>
        <v>148.07999999999998</v>
      </c>
      <c r="G12" s="5" t="s">
        <v>17</v>
      </c>
      <c r="H12" s="2">
        <v>147</v>
      </c>
      <c r="I12" s="2">
        <v>152</v>
      </c>
      <c r="J12" s="2">
        <v>0.08</v>
      </c>
      <c r="K12" s="35">
        <f t="shared" si="2"/>
        <v>149.5</v>
      </c>
      <c r="L12" s="40">
        <f t="shared" si="3"/>
        <v>75.15639270393005</v>
      </c>
      <c r="M12" s="40">
        <f t="shared" si="4"/>
        <v>-127.58998015413533</v>
      </c>
      <c r="N12" s="23"/>
      <c r="O12" s="13">
        <f>Ishmael!I30</f>
        <v>175.28805234483139</v>
      </c>
      <c r="P12" s="13">
        <f>Ishmael!J30</f>
        <v>313.9430028878334</v>
      </c>
      <c r="Q12" s="13">
        <f>Ishmael!K30</f>
        <v>46.0569971121666</v>
      </c>
      <c r="R12" s="13">
        <f>Ishmael!L30</f>
        <v>126.21281954859454</v>
      </c>
      <c r="S12" s="13">
        <f>Ishmael!M30</f>
        <v>121.63973642045703</v>
      </c>
      <c r="T12" s="13">
        <f t="shared" si="5"/>
        <v>226.05699711216658</v>
      </c>
      <c r="U12" s="13">
        <f t="shared" si="6"/>
        <v>133.94300288783342</v>
      </c>
      <c r="V12" s="13">
        <f t="shared" si="7"/>
        <v>126.2128195485945</v>
      </c>
      <c r="W12" s="13">
        <f t="shared" si="8"/>
        <v>-121.63973642045707</v>
      </c>
    </row>
    <row r="13" spans="1:23" s="2" customFormat="1" ht="12.75">
      <c r="A13" s="2">
        <v>10</v>
      </c>
      <c r="B13" s="2">
        <v>7</v>
      </c>
      <c r="C13" s="2">
        <v>15</v>
      </c>
      <c r="D13" s="2">
        <v>175</v>
      </c>
      <c r="E13" s="13">
        <f t="shared" si="0"/>
        <v>177.792</v>
      </c>
      <c r="F13" s="13">
        <f t="shared" si="1"/>
        <v>176.39600000000002</v>
      </c>
      <c r="G13" s="5" t="s">
        <v>18</v>
      </c>
      <c r="H13" s="2">
        <v>151</v>
      </c>
      <c r="I13" s="2">
        <v>151</v>
      </c>
      <c r="J13" s="2">
        <v>0.096</v>
      </c>
      <c r="K13" s="35">
        <f t="shared" si="2"/>
        <v>151</v>
      </c>
      <c r="L13" s="40">
        <f t="shared" si="3"/>
        <v>85.51861651211387</v>
      </c>
      <c r="M13" s="40">
        <f t="shared" si="4"/>
        <v>-154.27934095611766</v>
      </c>
      <c r="N13" s="23"/>
      <c r="O13" s="13">
        <f>Ishmael!I34</f>
        <v>384.4891634506928</v>
      </c>
      <c r="P13" s="13">
        <f>Ishmael!J34</f>
        <v>322.1843103955017</v>
      </c>
      <c r="Q13" s="13">
        <f>Ishmael!K34</f>
        <v>37.81568960449829</v>
      </c>
      <c r="R13" s="13">
        <f>Ishmael!L34</f>
        <v>235.73953797172925</v>
      </c>
      <c r="S13" s="13">
        <f>Ishmael!M34</f>
        <v>303.74131600407804</v>
      </c>
      <c r="T13" s="13">
        <f t="shared" si="5"/>
        <v>217.8156896044983</v>
      </c>
      <c r="U13" s="13">
        <f t="shared" si="6"/>
        <v>142.1843103955017</v>
      </c>
      <c r="V13" s="13">
        <f t="shared" si="7"/>
        <v>235.73953797172925</v>
      </c>
      <c r="W13" s="13">
        <f t="shared" si="8"/>
        <v>-303.74131600407804</v>
      </c>
    </row>
    <row r="14" spans="1:23" s="2" customFormat="1" ht="12.75">
      <c r="A14" s="2">
        <v>10</v>
      </c>
      <c r="B14" s="2">
        <v>7</v>
      </c>
      <c r="C14" s="2">
        <v>45</v>
      </c>
      <c r="D14" s="2">
        <v>221</v>
      </c>
      <c r="E14" s="13">
        <f t="shared" si="0"/>
        <v>200.016</v>
      </c>
      <c r="F14" s="13">
        <f t="shared" si="1"/>
        <v>210.50799999999998</v>
      </c>
      <c r="G14" s="5" t="s">
        <v>19</v>
      </c>
      <c r="H14" s="2">
        <v>157</v>
      </c>
      <c r="I14" s="2">
        <v>157</v>
      </c>
      <c r="J14" s="2">
        <v>0.108</v>
      </c>
      <c r="K14" s="35">
        <f t="shared" si="2"/>
        <v>157</v>
      </c>
      <c r="L14" s="40">
        <f t="shared" si="3"/>
        <v>82.25221979106159</v>
      </c>
      <c r="M14" s="40">
        <f t="shared" si="4"/>
        <v>-193.77355444807964</v>
      </c>
      <c r="N14" s="23"/>
      <c r="O14" s="13">
        <f>Ishmael!I38</f>
        <v>428284340.57158995</v>
      </c>
      <c r="P14" s="13">
        <f>Ishmael!J38</f>
        <v>325.20756081205997</v>
      </c>
      <c r="Q14" s="13">
        <f>Ishmael!K38</f>
        <v>34.79243918794001</v>
      </c>
      <c r="R14" s="13">
        <f>Ishmael!L38</f>
        <v>244381559.34555382</v>
      </c>
      <c r="S14" s="13">
        <f>Ishmael!M38</f>
        <v>351717400.52302957</v>
      </c>
      <c r="T14" s="13">
        <f t="shared" si="5"/>
        <v>214.79243918794003</v>
      </c>
      <c r="U14" s="13">
        <f t="shared" si="6"/>
        <v>145.20756081206</v>
      </c>
      <c r="V14" s="13">
        <f t="shared" si="7"/>
        <v>244381559.34555382</v>
      </c>
      <c r="W14" s="13">
        <f t="shared" si="8"/>
        <v>-351717400.52302957</v>
      </c>
    </row>
    <row r="15" spans="1:23" s="2" customFormat="1" ht="12.75">
      <c r="A15" s="2">
        <v>10</v>
      </c>
      <c r="B15" s="2">
        <v>8</v>
      </c>
      <c r="C15" s="2">
        <v>20</v>
      </c>
      <c r="D15" s="2">
        <v>241</v>
      </c>
      <c r="E15" s="13">
        <f t="shared" si="0"/>
        <v>235.204</v>
      </c>
      <c r="F15" s="13">
        <f t="shared" si="1"/>
        <v>238.102</v>
      </c>
      <c r="G15" s="5" t="s">
        <v>20</v>
      </c>
      <c r="H15" s="2">
        <v>161</v>
      </c>
      <c r="I15" s="2">
        <v>161</v>
      </c>
      <c r="J15" s="2">
        <v>0.127</v>
      </c>
      <c r="K15" s="35">
        <f t="shared" si="2"/>
        <v>161</v>
      </c>
      <c r="L15" s="40">
        <f t="shared" si="3"/>
        <v>77.51866435453732</v>
      </c>
      <c r="M15" s="40">
        <f t="shared" si="4"/>
        <v>-225.12978274917023</v>
      </c>
      <c r="N15" s="23"/>
      <c r="O15" s="60">
        <f>Ishmael!I41</f>
        <v>591853428.6649482</v>
      </c>
      <c r="P15" s="60">
        <f>Ishmael!J41</f>
        <v>318.58791148792204</v>
      </c>
      <c r="Q15" s="60">
        <f>Ishmael!K41</f>
        <v>41.41208851207796</v>
      </c>
      <c r="R15" s="60">
        <f>Ishmael!L41</f>
        <v>391493671.86085886</v>
      </c>
      <c r="S15" s="60">
        <f>Ishmael!M41</f>
        <v>443872938.9311282</v>
      </c>
      <c r="T15" s="13">
        <f t="shared" si="5"/>
        <v>221.41208851207796</v>
      </c>
      <c r="U15" s="13">
        <f t="shared" si="6"/>
        <v>138.58791148792204</v>
      </c>
      <c r="V15" s="13">
        <f t="shared" si="7"/>
        <v>391493671.86085886</v>
      </c>
      <c r="W15" s="13">
        <f t="shared" si="8"/>
        <v>-443872938.9311282</v>
      </c>
    </row>
    <row r="16" spans="1:23" s="2" customFormat="1" ht="12.75">
      <c r="A16" s="16">
        <v>10</v>
      </c>
      <c r="B16" s="16">
        <v>8</v>
      </c>
      <c r="C16" s="16">
        <v>44</v>
      </c>
      <c r="D16" s="16">
        <v>291</v>
      </c>
      <c r="E16" s="17">
        <f t="shared" si="0"/>
        <v>277.8</v>
      </c>
      <c r="F16" s="17">
        <f t="shared" si="1"/>
        <v>284.4</v>
      </c>
      <c r="G16" s="18" t="s">
        <v>21</v>
      </c>
      <c r="H16" s="16">
        <v>160</v>
      </c>
      <c r="I16" s="16">
        <v>160</v>
      </c>
      <c r="J16" s="16">
        <v>0.15</v>
      </c>
      <c r="K16" s="36">
        <f t="shared" si="2"/>
        <v>160</v>
      </c>
      <c r="L16" s="41">
        <f t="shared" si="3"/>
        <v>97.27080454936585</v>
      </c>
      <c r="M16" s="41">
        <f t="shared" si="4"/>
        <v>-267.24848097289356</v>
      </c>
      <c r="N16" s="24" t="s">
        <v>44</v>
      </c>
      <c r="O16" s="17">
        <f>Ishmael!I44</f>
        <v>502493781.0560445</v>
      </c>
      <c r="P16" s="17">
        <f>Ishmael!J44</f>
        <v>317.3979117735031</v>
      </c>
      <c r="Q16" s="17">
        <f>Ishmael!K44</f>
        <v>42.6020882264969</v>
      </c>
      <c r="R16" s="17">
        <f>Ishmael!L44</f>
        <v>340139704.4911032</v>
      </c>
      <c r="S16" s="17">
        <f>Ishmael!M44</f>
        <v>369871574.2372006</v>
      </c>
      <c r="T16" s="17">
        <f t="shared" si="5"/>
        <v>222.6020882264969</v>
      </c>
      <c r="U16" s="17">
        <f t="shared" si="6"/>
        <v>137.3979117735031</v>
      </c>
      <c r="V16" s="17">
        <f t="shared" si="7"/>
        <v>340139704.4911032</v>
      </c>
      <c r="W16" s="17">
        <f t="shared" si="8"/>
        <v>-369871574.2372006</v>
      </c>
    </row>
    <row r="17" spans="1:22" s="3" customFormat="1" ht="64.5">
      <c r="A17" s="19"/>
      <c r="B17" s="19"/>
      <c r="C17" s="19"/>
      <c r="D17" s="19"/>
      <c r="E17" s="20"/>
      <c r="F17" s="14"/>
      <c r="G17" s="21"/>
      <c r="H17" s="19"/>
      <c r="I17" s="19"/>
      <c r="J17" s="19"/>
      <c r="K17" s="20"/>
      <c r="L17" s="43"/>
      <c r="M17" s="43"/>
      <c r="N17" s="26" t="s">
        <v>42</v>
      </c>
      <c r="R17" s="3" t="s">
        <v>90</v>
      </c>
      <c r="V17" s="3" t="s">
        <v>93</v>
      </c>
    </row>
    <row r="18" spans="1:23" s="3" customFormat="1" ht="12.75">
      <c r="A18" s="3">
        <v>10</v>
      </c>
      <c r="B18" s="3">
        <v>16</v>
      </c>
      <c r="C18" s="3">
        <v>30</v>
      </c>
      <c r="D18" s="3">
        <v>246</v>
      </c>
      <c r="E18" s="14">
        <f t="shared" si="0"/>
        <v>220.38799999999998</v>
      </c>
      <c r="F18" s="14">
        <f t="shared" si="1"/>
        <v>233.194</v>
      </c>
      <c r="G18" s="6" t="s">
        <v>22</v>
      </c>
      <c r="I18" s="3">
        <v>342</v>
      </c>
      <c r="J18" s="3">
        <v>0.119</v>
      </c>
      <c r="K18" s="14">
        <f>AVERAGE(H18:I18)</f>
        <v>342</v>
      </c>
      <c r="L18" s="43">
        <f t="shared" si="3"/>
        <v>-72.06173290667763</v>
      </c>
      <c r="M18" s="43">
        <f t="shared" si="4"/>
        <v>221.7804055512719</v>
      </c>
      <c r="N18" s="26"/>
      <c r="O18" s="14">
        <f>Ishmael!I45</f>
        <v>39.85749805564148</v>
      </c>
      <c r="P18" s="14">
        <f>Ishmael!J45</f>
        <v>202.13543377937017</v>
      </c>
      <c r="Q18" s="14">
        <f>Ishmael!K45</f>
        <v>157.8645662206298</v>
      </c>
      <c r="R18" s="14">
        <f>Ishmael!L45</f>
        <v>-15.01813223190978</v>
      </c>
      <c r="S18" s="14">
        <f>Ishmael!M45</f>
        <v>-36.919857197994915</v>
      </c>
      <c r="T18" s="14">
        <f>360+180-P18</f>
        <v>337.86456622062985</v>
      </c>
      <c r="U18" s="14">
        <f>180-Q18</f>
        <v>22.135433779370203</v>
      </c>
      <c r="V18" s="14">
        <f>O18*COS((90-T18)*3.14159/180)</f>
        <v>-15.018328172010712</v>
      </c>
      <c r="W18" s="14">
        <f>O18*SIN((90-T18)*3.14159/180)</f>
        <v>36.91977749355017</v>
      </c>
    </row>
    <row r="19" spans="1:23" s="3" customFormat="1" ht="12.75">
      <c r="A19" s="3">
        <v>10</v>
      </c>
      <c r="B19" s="3">
        <v>16</v>
      </c>
      <c r="C19" s="3">
        <v>43</v>
      </c>
      <c r="D19" s="3">
        <v>209</v>
      </c>
      <c r="E19" s="14">
        <f t="shared" si="0"/>
        <v>188.904</v>
      </c>
      <c r="F19" s="14">
        <f t="shared" si="1"/>
        <v>198.952</v>
      </c>
      <c r="G19" s="6" t="s">
        <v>23</v>
      </c>
      <c r="I19" s="3">
        <v>338</v>
      </c>
      <c r="J19" s="3">
        <v>0.102</v>
      </c>
      <c r="K19" s="14">
        <f aca="true" t="shared" si="9" ref="K19:K31">AVERAGE(H19:I19)</f>
        <v>338</v>
      </c>
      <c r="L19" s="43">
        <f t="shared" si="3"/>
        <v>-74.52940538764852</v>
      </c>
      <c r="M19" s="43">
        <f t="shared" si="4"/>
        <v>184.46480975124646</v>
      </c>
      <c r="N19" s="26"/>
      <c r="O19" s="14">
        <f>Ishmael!I48</f>
        <v>53.20227756507242</v>
      </c>
      <c r="P19" s="14">
        <f>Ishmael!J48</f>
        <v>205.6926891204366</v>
      </c>
      <c r="Q19" s="14">
        <f>Ishmael!K48</f>
        <v>154.3073108795634</v>
      </c>
      <c r="R19" s="14">
        <f>Ishmael!L48</f>
        <v>-23.06545202126942</v>
      </c>
      <c r="S19" s="14">
        <f>Ishmael!M48</f>
        <v>-47.94233266295589</v>
      </c>
      <c r="T19" s="14">
        <f>360+180-P19</f>
        <v>334.3073108795634</v>
      </c>
      <c r="U19" s="14">
        <f>180-Q19</f>
        <v>25.692689120436597</v>
      </c>
      <c r="V19" s="14">
        <f>O19*COS((90-T19)*3.14159/180)</f>
        <v>-23.065706459513876</v>
      </c>
      <c r="W19" s="14">
        <f>O19*SIN((90-T19)*3.14159/180)</f>
        <v>47.942210249784566</v>
      </c>
    </row>
    <row r="20" spans="1:23" s="3" customFormat="1" ht="12.75">
      <c r="A20" s="3">
        <v>10</v>
      </c>
      <c r="B20" s="3">
        <v>17</v>
      </c>
      <c r="C20" s="3">
        <v>19</v>
      </c>
      <c r="D20" s="3">
        <v>172</v>
      </c>
      <c r="E20" s="14">
        <f t="shared" si="0"/>
        <v>157.42000000000002</v>
      </c>
      <c r="F20" s="14">
        <f t="shared" si="1"/>
        <v>164.71</v>
      </c>
      <c r="G20" s="6" t="s">
        <v>24</v>
      </c>
      <c r="I20" s="3">
        <v>331</v>
      </c>
      <c r="J20" s="3">
        <v>0.085</v>
      </c>
      <c r="K20" s="14">
        <f t="shared" si="9"/>
        <v>331</v>
      </c>
      <c r="L20" s="43">
        <f t="shared" si="3"/>
        <v>-79.85350437062253</v>
      </c>
      <c r="M20" s="43">
        <f t="shared" si="4"/>
        <v>144.05832825536666</v>
      </c>
      <c r="N20" s="26"/>
      <c r="O20" s="14">
        <f>Ishmael!I52</f>
        <v>74.39119188797201</v>
      </c>
      <c r="P20" s="14">
        <f>Ishmael!J52</f>
        <v>210.09320736068696</v>
      </c>
      <c r="Q20" s="14">
        <f>Ishmael!K52</f>
        <v>149.90679263931304</v>
      </c>
      <c r="R20" s="14">
        <f>Ishmael!L52</f>
        <v>-37.30023717905052</v>
      </c>
      <c r="S20" s="14">
        <f>Ishmael!M52</f>
        <v>-64.36413393264645</v>
      </c>
      <c r="T20" s="14">
        <f>360+180-P20</f>
        <v>329.90679263931304</v>
      </c>
      <c r="U20" s="14">
        <f>180-Q20</f>
        <v>30.09320736068696</v>
      </c>
      <c r="V20" s="14">
        <f>O20*COS((90-T20)*3.14159/180)</f>
        <v>-37.30057877054297</v>
      </c>
      <c r="W20" s="14">
        <f>O20*SIN((90-T20)*3.14159/180)</f>
        <v>64.36393597268265</v>
      </c>
    </row>
    <row r="21" spans="1:14" s="3" customFormat="1" ht="12.75">
      <c r="A21" s="3">
        <v>10</v>
      </c>
      <c r="B21" s="3">
        <v>17</v>
      </c>
      <c r="C21" s="3">
        <v>46</v>
      </c>
      <c r="D21" s="3">
        <v>136</v>
      </c>
      <c r="E21" s="14">
        <f t="shared" si="0"/>
        <v>107.41600000000001</v>
      </c>
      <c r="F21" s="14">
        <f t="shared" si="1"/>
        <v>121.708</v>
      </c>
      <c r="G21" s="6" t="s">
        <v>25</v>
      </c>
      <c r="I21" s="3">
        <v>319</v>
      </c>
      <c r="J21" s="3">
        <v>0.058</v>
      </c>
      <c r="K21" s="14">
        <f t="shared" si="9"/>
        <v>319</v>
      </c>
      <c r="L21" s="43">
        <f t="shared" si="3"/>
        <v>-79.84794239562882</v>
      </c>
      <c r="M21" s="43">
        <f t="shared" si="4"/>
        <v>91.85392402714399</v>
      </c>
      <c r="N21" s="26" t="s">
        <v>45</v>
      </c>
    </row>
    <row r="22" spans="1:14" s="3" customFormat="1" ht="12.75">
      <c r="A22" s="3">
        <v>10</v>
      </c>
      <c r="B22" s="3">
        <v>18</v>
      </c>
      <c r="C22" s="3">
        <v>20</v>
      </c>
      <c r="D22" s="3">
        <v>110</v>
      </c>
      <c r="E22" s="14">
        <f t="shared" si="0"/>
        <v>96.304</v>
      </c>
      <c r="F22" s="14">
        <f t="shared" si="1"/>
        <v>103.152</v>
      </c>
      <c r="G22" s="6" t="s">
        <v>26</v>
      </c>
      <c r="I22" s="3">
        <v>316</v>
      </c>
      <c r="J22" s="3">
        <v>0.052</v>
      </c>
      <c r="K22" s="14">
        <f t="shared" si="9"/>
        <v>316</v>
      </c>
      <c r="L22" s="43">
        <f t="shared" si="3"/>
        <v>-71.65564744797229</v>
      </c>
      <c r="M22" s="43">
        <f t="shared" si="4"/>
        <v>74.20110034771656</v>
      </c>
      <c r="N22" s="26"/>
    </row>
    <row r="23" spans="1:14" s="3" customFormat="1" ht="12.75">
      <c r="A23" s="3">
        <v>10</v>
      </c>
      <c r="B23" s="3">
        <v>18</v>
      </c>
      <c r="C23" s="3">
        <v>45</v>
      </c>
      <c r="D23" s="3">
        <v>77</v>
      </c>
      <c r="E23" s="14">
        <f t="shared" si="0"/>
        <v>77.784</v>
      </c>
      <c r="F23" s="14">
        <f t="shared" si="1"/>
        <v>77.392</v>
      </c>
      <c r="G23" s="6" t="s">
        <v>27</v>
      </c>
      <c r="I23" s="3">
        <v>298</v>
      </c>
      <c r="J23" s="3">
        <v>0.042</v>
      </c>
      <c r="K23" s="14">
        <f t="shared" si="9"/>
        <v>298</v>
      </c>
      <c r="L23" s="43">
        <f t="shared" si="3"/>
        <v>-68.33319151770591</v>
      </c>
      <c r="M23" s="43">
        <f t="shared" si="4"/>
        <v>36.333133652418745</v>
      </c>
      <c r="N23" s="26"/>
    </row>
    <row r="24" spans="1:14" s="3" customFormat="1" ht="12.75">
      <c r="A24" s="3">
        <v>10</v>
      </c>
      <c r="B24" s="3">
        <v>19</v>
      </c>
      <c r="C24" s="3">
        <v>24</v>
      </c>
      <c r="D24" s="3">
        <v>64</v>
      </c>
      <c r="E24" s="14"/>
      <c r="F24" s="14">
        <f t="shared" si="1"/>
        <v>64</v>
      </c>
      <c r="G24" s="6" t="s">
        <v>28</v>
      </c>
      <c r="J24" s="3" t="s">
        <v>39</v>
      </c>
      <c r="K24" s="14"/>
      <c r="L24" s="43"/>
      <c r="M24" s="43"/>
      <c r="N24" s="26"/>
    </row>
    <row r="25" spans="1:14" s="3" customFormat="1" ht="12.75">
      <c r="A25" s="3">
        <v>10</v>
      </c>
      <c r="B25" s="3">
        <v>19</v>
      </c>
      <c r="C25" s="3">
        <v>57</v>
      </c>
      <c r="D25" s="3">
        <v>78</v>
      </c>
      <c r="E25" s="14">
        <f t="shared" si="0"/>
        <v>68.524</v>
      </c>
      <c r="F25" s="14">
        <f t="shared" si="1"/>
        <v>73.262</v>
      </c>
      <c r="G25" s="6" t="s">
        <v>29</v>
      </c>
      <c r="I25" s="3">
        <v>225</v>
      </c>
      <c r="J25" s="3">
        <v>0.037</v>
      </c>
      <c r="K25" s="14">
        <f t="shared" si="9"/>
        <v>225</v>
      </c>
      <c r="L25" s="43">
        <f t="shared" si="3"/>
        <v>-51.80395390314855</v>
      </c>
      <c r="M25" s="43">
        <f t="shared" si="4"/>
        <v>-51.80416010322395</v>
      </c>
      <c r="N25" s="26"/>
    </row>
    <row r="26" spans="1:14" s="3" customFormat="1" ht="12.75">
      <c r="A26" s="3">
        <v>10</v>
      </c>
      <c r="B26" s="3">
        <v>20</v>
      </c>
      <c r="C26" s="3">
        <v>18</v>
      </c>
      <c r="D26" s="3">
        <v>99</v>
      </c>
      <c r="E26" s="14">
        <f t="shared" si="0"/>
        <v>92.60000000000001</v>
      </c>
      <c r="F26" s="14">
        <f t="shared" si="1"/>
        <v>95.80000000000001</v>
      </c>
      <c r="G26" s="6" t="s">
        <v>30</v>
      </c>
      <c r="I26" s="3">
        <v>216</v>
      </c>
      <c r="J26" s="3">
        <v>0.05</v>
      </c>
      <c r="K26" s="14">
        <f t="shared" si="9"/>
        <v>216</v>
      </c>
      <c r="L26" s="43">
        <f t="shared" si="3"/>
        <v>-56.3096832051648</v>
      </c>
      <c r="M26" s="43">
        <f t="shared" si="4"/>
        <v>-77.50393265721412</v>
      </c>
      <c r="N26" s="26"/>
    </row>
    <row r="27" spans="1:14" s="3" customFormat="1" ht="12.75">
      <c r="A27" s="3">
        <v>10</v>
      </c>
      <c r="B27" s="3">
        <v>20</v>
      </c>
      <c r="C27" s="3">
        <v>40</v>
      </c>
      <c r="D27" s="3">
        <v>126</v>
      </c>
      <c r="E27" s="14">
        <f t="shared" si="0"/>
        <v>142.60399999999998</v>
      </c>
      <c r="F27" s="14">
        <f t="shared" si="1"/>
        <v>134.302</v>
      </c>
      <c r="G27" s="6" t="s">
        <v>31</v>
      </c>
      <c r="I27" s="3">
        <v>203</v>
      </c>
      <c r="J27" s="3">
        <v>0.077</v>
      </c>
      <c r="K27" s="14">
        <f t="shared" si="9"/>
        <v>203</v>
      </c>
      <c r="L27" s="43">
        <f t="shared" si="3"/>
        <v>-52.47576607469877</v>
      </c>
      <c r="M27" s="43">
        <f t="shared" si="4"/>
        <v>-123.62573024606768</v>
      </c>
      <c r="N27" s="26"/>
    </row>
    <row r="28" spans="1:14" s="3" customFormat="1" ht="12.75">
      <c r="A28" s="3">
        <v>10</v>
      </c>
      <c r="B28" s="3">
        <v>21</v>
      </c>
      <c r="C28" s="3">
        <v>14</v>
      </c>
      <c r="D28" s="3">
        <v>160</v>
      </c>
      <c r="E28" s="14"/>
      <c r="F28" s="14">
        <f t="shared" si="1"/>
        <v>160</v>
      </c>
      <c r="G28" s="6" t="s">
        <v>32</v>
      </c>
      <c r="I28" s="3">
        <v>192</v>
      </c>
      <c r="J28" s="3" t="s">
        <v>39</v>
      </c>
      <c r="K28" s="14">
        <f t="shared" si="9"/>
        <v>192</v>
      </c>
      <c r="L28" s="43">
        <f t="shared" si="3"/>
        <v>-33.26563519617818</v>
      </c>
      <c r="M28" s="43">
        <f t="shared" si="4"/>
        <v>-156.50366613915085</v>
      </c>
      <c r="N28" s="26"/>
    </row>
    <row r="29" spans="1:14" s="3" customFormat="1" ht="12.75">
      <c r="A29" s="3">
        <v>10</v>
      </c>
      <c r="B29" s="3">
        <v>21</v>
      </c>
      <c r="C29" s="3">
        <v>40</v>
      </c>
      <c r="D29" s="3">
        <v>199</v>
      </c>
      <c r="E29" s="14"/>
      <c r="F29" s="14">
        <f t="shared" si="1"/>
        <v>199</v>
      </c>
      <c r="G29" s="6" t="s">
        <v>33</v>
      </c>
      <c r="H29" s="3">
        <v>190</v>
      </c>
      <c r="I29" s="3">
        <v>195</v>
      </c>
      <c r="K29" s="14">
        <f t="shared" si="9"/>
        <v>192.5</v>
      </c>
      <c r="L29" s="43">
        <f t="shared" si="3"/>
        <v>-43.07118959818152</v>
      </c>
      <c r="M29" s="43">
        <f t="shared" si="4"/>
        <v>-194.28297050075568</v>
      </c>
      <c r="N29" s="26"/>
    </row>
    <row r="30" spans="1:14" s="3" customFormat="1" ht="12.75">
      <c r="A30" s="3">
        <v>10</v>
      </c>
      <c r="B30" s="3">
        <v>22</v>
      </c>
      <c r="C30" s="3">
        <v>9</v>
      </c>
      <c r="D30" s="3">
        <v>242</v>
      </c>
      <c r="E30" s="14"/>
      <c r="F30" s="14">
        <f t="shared" si="1"/>
        <v>242</v>
      </c>
      <c r="G30" s="6" t="s">
        <v>34</v>
      </c>
      <c r="I30" s="3">
        <v>185</v>
      </c>
      <c r="K30" s="14">
        <f t="shared" si="9"/>
        <v>185</v>
      </c>
      <c r="L30" s="43">
        <f t="shared" si="3"/>
        <v>-21.09135211222933</v>
      </c>
      <c r="M30" s="43">
        <f t="shared" si="4"/>
        <v>-241.0791464769982</v>
      </c>
      <c r="N30" s="26"/>
    </row>
    <row r="31" spans="1:14" s="3" customFormat="1" ht="12.75">
      <c r="A31" s="3">
        <v>10</v>
      </c>
      <c r="B31" s="3">
        <v>22</v>
      </c>
      <c r="C31" s="3">
        <v>38</v>
      </c>
      <c r="D31" s="3">
        <v>271</v>
      </c>
      <c r="E31" s="14">
        <f t="shared" si="0"/>
        <v>300.024</v>
      </c>
      <c r="F31" s="14">
        <f t="shared" si="1"/>
        <v>285.512</v>
      </c>
      <c r="G31" s="6" t="s">
        <v>35</v>
      </c>
      <c r="I31" s="3">
        <v>185</v>
      </c>
      <c r="J31" s="3">
        <v>0.162</v>
      </c>
      <c r="K31" s="14">
        <f t="shared" si="9"/>
        <v>185</v>
      </c>
      <c r="L31" s="43">
        <f t="shared" si="3"/>
        <v>-24.883612083747195</v>
      </c>
      <c r="M31" s="43">
        <f t="shared" si="4"/>
        <v>-284.4255754914906</v>
      </c>
      <c r="N31" s="26" t="s">
        <v>46</v>
      </c>
    </row>
    <row r="32" spans="1:14" s="3" customFormat="1" ht="12.75">
      <c r="A32" s="3">
        <v>10</v>
      </c>
      <c r="B32" s="3">
        <v>23</v>
      </c>
      <c r="C32" s="3">
        <v>9</v>
      </c>
      <c r="D32" s="3" t="s">
        <v>9</v>
      </c>
      <c r="E32" s="14"/>
      <c r="F32" s="14"/>
      <c r="G32" s="6" t="s">
        <v>36</v>
      </c>
      <c r="H32" s="3" t="s">
        <v>9</v>
      </c>
      <c r="I32" s="3" t="s">
        <v>9</v>
      </c>
      <c r="K32" s="14"/>
      <c r="L32" s="43"/>
      <c r="M32" s="43"/>
      <c r="N32" s="25" t="s">
        <v>43</v>
      </c>
    </row>
    <row r="33" ht="12.75">
      <c r="K33" s="37"/>
    </row>
    <row r="35" spans="1:2" ht="12.75">
      <c r="A35" s="3">
        <v>0</v>
      </c>
      <c r="B35" s="3">
        <v>0</v>
      </c>
    </row>
    <row r="36" spans="1:2" ht="12.75">
      <c r="A36" s="3">
        <v>450</v>
      </c>
      <c r="B36" s="3">
        <v>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20">
      <selection activeCell="L52" sqref="L52:M52"/>
    </sheetView>
  </sheetViews>
  <sheetFormatPr defaultColWidth="11.00390625" defaultRowHeight="12.75"/>
  <cols>
    <col min="1" max="1" width="17.625" style="45" customWidth="1"/>
    <col min="2" max="2" width="9.625" style="45" bestFit="1" customWidth="1"/>
    <col min="3" max="3" width="10.375" style="45" bestFit="1" customWidth="1"/>
    <col min="4" max="4" width="7.625" style="45" customWidth="1"/>
    <col min="5" max="5" width="9.875" style="45" bestFit="1" customWidth="1"/>
    <col min="6" max="7" width="7.875" style="46" customWidth="1"/>
    <col min="8" max="8" width="9.125" style="46" customWidth="1"/>
    <col min="9" max="11" width="11.625" style="53" customWidth="1"/>
    <col min="12" max="13" width="10.25390625" style="54" customWidth="1"/>
    <col min="14" max="16384" width="7.625" style="45" customWidth="1"/>
  </cols>
  <sheetData>
    <row r="1" ht="12">
      <c r="A1" s="45" t="s">
        <v>55</v>
      </c>
    </row>
    <row r="2" ht="12">
      <c r="B2" s="45" t="s">
        <v>56</v>
      </c>
    </row>
    <row r="3" spans="1:13" ht="12">
      <c r="A3" s="45" t="s">
        <v>57</v>
      </c>
      <c r="B3" s="45" t="s">
        <v>52</v>
      </c>
      <c r="C3" s="45" t="s">
        <v>53</v>
      </c>
      <c r="D3" s="45" t="s">
        <v>58</v>
      </c>
      <c r="E3" s="45" t="s">
        <v>59</v>
      </c>
      <c r="F3" s="46" t="s">
        <v>60</v>
      </c>
      <c r="G3" s="46" t="s">
        <v>61</v>
      </c>
      <c r="H3" s="46" t="s">
        <v>62</v>
      </c>
      <c r="I3" s="53" t="s">
        <v>63</v>
      </c>
      <c r="J3" s="53" t="s">
        <v>51</v>
      </c>
      <c r="K3" s="53" t="s">
        <v>64</v>
      </c>
      <c r="L3" s="55" t="s">
        <v>86</v>
      </c>
      <c r="M3" s="55" t="s">
        <v>87</v>
      </c>
    </row>
    <row r="4" spans="1:13" ht="12">
      <c r="A4" s="57" t="s">
        <v>65</v>
      </c>
      <c r="B4" s="45">
        <v>-49.7</v>
      </c>
      <c r="C4" s="45">
        <v>8.4</v>
      </c>
      <c r="D4" s="45" t="s">
        <v>66</v>
      </c>
      <c r="E4" s="46">
        <f aca="true" t="shared" si="0" ref="E4:E55">SQRT(B4^2+C4^2)</f>
        <v>50.404860876705136</v>
      </c>
      <c r="F4" s="46">
        <f>IF(H4&lt;0,360+H4,H4)</f>
        <v>279.5523507329977</v>
      </c>
      <c r="G4" s="46">
        <f>360-F4</f>
        <v>80.4476492670023</v>
      </c>
      <c r="H4" s="46">
        <f>180*ATAN2(C4,B4)/3.14</f>
        <v>-80.44764926700229</v>
      </c>
      <c r="I4" s="53">
        <f>AVERAGE(E4:E8)</f>
        <v>45.387398365834414</v>
      </c>
      <c r="J4" s="53">
        <f>AVERAGE(F4:F8)</f>
        <v>288.0710499012275</v>
      </c>
      <c r="K4" s="53">
        <f>AVERAGE(G4:G8)</f>
        <v>71.9289500987725</v>
      </c>
      <c r="L4" s="53">
        <f>I4*COS((90-K4)*3.14159/180)</f>
        <v>43.14855918043445</v>
      </c>
      <c r="M4" s="53">
        <f>I4*SIN((90-K4)*3.14159/180)</f>
        <v>14.078983311002773</v>
      </c>
    </row>
    <row r="5" spans="2:13" ht="12">
      <c r="B5" s="45">
        <v>-38.9</v>
      </c>
      <c r="C5" s="45">
        <v>12.9</v>
      </c>
      <c r="E5" s="46">
        <f t="shared" si="0"/>
        <v>40.983167276334314</v>
      </c>
      <c r="F5" s="46">
        <f aca="true" t="shared" si="1" ref="F5:F55">IF(H5&lt;0,360+H5,H5)</f>
        <v>288.3101857996959</v>
      </c>
      <c r="G5" s="46">
        <f aca="true" t="shared" si="2" ref="G5:G55">360-F5</f>
        <v>71.68981420030411</v>
      </c>
      <c r="H5" s="46">
        <f aca="true" t="shared" si="3" ref="H5:H55">180*ATAN2(C5,B5)/3.14</f>
        <v>-71.6898142003041</v>
      </c>
      <c r="L5" s="53"/>
      <c r="M5" s="53"/>
    </row>
    <row r="6" spans="2:13" ht="12">
      <c r="B6" s="45">
        <v>-41.2</v>
      </c>
      <c r="C6" s="45">
        <v>14</v>
      </c>
      <c r="E6" s="46">
        <f t="shared" si="0"/>
        <v>43.51367601111173</v>
      </c>
      <c r="F6" s="46">
        <f t="shared" si="1"/>
        <v>288.73193019268973</v>
      </c>
      <c r="G6" s="46">
        <f t="shared" si="2"/>
        <v>71.26806980731027</v>
      </c>
      <c r="H6" s="46">
        <f t="shared" si="3"/>
        <v>-71.26806980731028</v>
      </c>
      <c r="L6" s="53"/>
      <c r="M6" s="53"/>
    </row>
    <row r="7" spans="2:13" ht="12">
      <c r="B7" s="45">
        <v>-45.3</v>
      </c>
      <c r="C7" s="45">
        <v>17.7</v>
      </c>
      <c r="E7" s="46">
        <f t="shared" si="0"/>
        <v>48.635172457800536</v>
      </c>
      <c r="F7" s="46">
        <f t="shared" si="1"/>
        <v>291.30717866831117</v>
      </c>
      <c r="G7" s="46">
        <f t="shared" si="2"/>
        <v>68.69282133168883</v>
      </c>
      <c r="H7" s="46">
        <f t="shared" si="3"/>
        <v>-68.69282133168883</v>
      </c>
      <c r="L7" s="53"/>
      <c r="M7" s="53"/>
    </row>
    <row r="8" spans="2:13" ht="12">
      <c r="B8" s="45">
        <v>-40.1</v>
      </c>
      <c r="C8" s="45">
        <v>16.6</v>
      </c>
      <c r="E8" s="46">
        <f t="shared" si="0"/>
        <v>43.40011520722036</v>
      </c>
      <c r="F8" s="46">
        <f t="shared" si="1"/>
        <v>292.453604112443</v>
      </c>
      <c r="G8" s="46">
        <f t="shared" si="2"/>
        <v>67.54639588755703</v>
      </c>
      <c r="H8" s="46">
        <f t="shared" si="3"/>
        <v>-67.54639588755703</v>
      </c>
      <c r="L8" s="53"/>
      <c r="M8" s="53"/>
    </row>
    <row r="9" spans="1:13" ht="12">
      <c r="A9" s="45" t="s">
        <v>67</v>
      </c>
      <c r="B9" s="45">
        <v>-77.7</v>
      </c>
      <c r="C9" s="45">
        <v>-71.2</v>
      </c>
      <c r="D9" s="45" t="s">
        <v>68</v>
      </c>
      <c r="E9" s="46">
        <f>SQRT(B9^2+C9^2)</f>
        <v>105.38847185532202</v>
      </c>
      <c r="F9" s="46">
        <f t="shared" si="1"/>
        <v>227.43236586115717</v>
      </c>
      <c r="G9" s="46">
        <f t="shared" si="2"/>
        <v>132.56763413884283</v>
      </c>
      <c r="H9" s="46">
        <f t="shared" si="3"/>
        <v>-132.56763413884283</v>
      </c>
      <c r="I9" s="53">
        <f>AVERAGE(E9:E12)</f>
        <v>102.9357255691539</v>
      </c>
      <c r="J9" s="53">
        <f>AVERAGE(F9:F12)</f>
        <v>229.4750614676742</v>
      </c>
      <c r="K9" s="53">
        <f>AVERAGE(G9:G12)</f>
        <v>130.5249385323258</v>
      </c>
      <c r="L9" s="53">
        <f>I9*COS((90-K9)*3.14159/180)</f>
        <v>78.24387463213294</v>
      </c>
      <c r="M9" s="53">
        <f>I9*SIN((90-K9)*3.14159/180)</f>
        <v>-66.88542203648885</v>
      </c>
    </row>
    <row r="10" spans="2:13" ht="12">
      <c r="B10" s="45">
        <v>-76.1</v>
      </c>
      <c r="C10" s="45">
        <v>-65.7</v>
      </c>
      <c r="E10" s="46">
        <f t="shared" si="0"/>
        <v>100.53705784435907</v>
      </c>
      <c r="F10" s="46">
        <f t="shared" si="1"/>
        <v>229.1283723157301</v>
      </c>
      <c r="G10" s="46">
        <f t="shared" si="2"/>
        <v>130.8716276842699</v>
      </c>
      <c r="H10" s="46">
        <f t="shared" si="3"/>
        <v>-130.8716276842699</v>
      </c>
      <c r="L10" s="53"/>
      <c r="M10" s="53"/>
    </row>
    <row r="11" spans="2:13" ht="12">
      <c r="B11" s="45">
        <v>-80.8</v>
      </c>
      <c r="C11" s="45">
        <v>-67.7</v>
      </c>
      <c r="E11" s="46">
        <f t="shared" si="0"/>
        <v>105.41313959843906</v>
      </c>
      <c r="F11" s="46">
        <f t="shared" si="1"/>
        <v>229.97540811245327</v>
      </c>
      <c r="G11" s="46">
        <f t="shared" si="2"/>
        <v>130.02459188754673</v>
      </c>
      <c r="H11" s="46">
        <f t="shared" si="3"/>
        <v>-130.02459188754673</v>
      </c>
      <c r="L11" s="53"/>
      <c r="M11" s="53"/>
    </row>
    <row r="12" spans="2:13" ht="12">
      <c r="B12" s="45">
        <v>-78.5</v>
      </c>
      <c r="C12" s="45">
        <v>-62.6</v>
      </c>
      <c r="E12" s="46">
        <f t="shared" si="0"/>
        <v>100.40423297849549</v>
      </c>
      <c r="F12" s="46">
        <f t="shared" si="1"/>
        <v>231.36409958135627</v>
      </c>
      <c r="G12" s="46">
        <f t="shared" si="2"/>
        <v>128.63590041864373</v>
      </c>
      <c r="H12" s="46">
        <f t="shared" si="3"/>
        <v>-128.63590041864373</v>
      </c>
      <c r="L12" s="53"/>
      <c r="M12" s="53"/>
    </row>
    <row r="13" spans="1:13" ht="12">
      <c r="A13" s="45" t="s">
        <v>69</v>
      </c>
      <c r="B13" s="45">
        <v>-90.1</v>
      </c>
      <c r="C13" s="45">
        <v>-47.2</v>
      </c>
      <c r="D13" s="45" t="s">
        <v>70</v>
      </c>
      <c r="E13" s="46">
        <f t="shared" si="0"/>
        <v>101.7145515646606</v>
      </c>
      <c r="F13" s="46">
        <f t="shared" si="1"/>
        <v>242.29197554773668</v>
      </c>
      <c r="G13" s="46">
        <f t="shared" si="2"/>
        <v>117.70802445226332</v>
      </c>
      <c r="H13" s="46">
        <f t="shared" si="3"/>
        <v>-117.7080244522633</v>
      </c>
      <c r="I13" s="53">
        <f>AVERAGE(E13:E16)</f>
        <v>82.76233511813341</v>
      </c>
      <c r="J13" s="53">
        <f>AVERAGE(F13:F16)</f>
        <v>247.50028906512858</v>
      </c>
      <c r="K13" s="53">
        <f>AVERAGE(G13:G16)</f>
        <v>112.49971093487142</v>
      </c>
      <c r="L13" s="53">
        <f>I13*COS((90-K13)*3.14159/180)</f>
        <v>76.46259777121121</v>
      </c>
      <c r="M13" s="53">
        <f>I13*SIN((90-K13)*3.14159/180)</f>
        <v>-31.671363347418193</v>
      </c>
    </row>
    <row r="14" spans="2:13" ht="12">
      <c r="B14" s="45">
        <v>-64.7</v>
      </c>
      <c r="C14" s="45">
        <v>-24.3</v>
      </c>
      <c r="E14" s="46">
        <f t="shared" si="0"/>
        <v>69.11280633862295</v>
      </c>
      <c r="F14" s="46">
        <f t="shared" si="1"/>
        <v>249.35875560847023</v>
      </c>
      <c r="G14" s="46">
        <f t="shared" si="2"/>
        <v>110.64124439152977</v>
      </c>
      <c r="H14" s="46">
        <f t="shared" si="3"/>
        <v>-110.64124439152975</v>
      </c>
      <c r="L14" s="53"/>
      <c r="M14" s="53"/>
    </row>
    <row r="15" spans="2:13" ht="12">
      <c r="B15" s="45">
        <v>-84.5</v>
      </c>
      <c r="C15" s="45">
        <v>-37.5</v>
      </c>
      <c r="E15" s="46">
        <f t="shared" si="0"/>
        <v>92.44728227481866</v>
      </c>
      <c r="F15" s="46">
        <f t="shared" si="1"/>
        <v>246.01118746184733</v>
      </c>
      <c r="G15" s="46">
        <f t="shared" si="2"/>
        <v>113.98881253815267</v>
      </c>
      <c r="H15" s="46">
        <f t="shared" si="3"/>
        <v>-113.98881253815267</v>
      </c>
      <c r="L15" s="53"/>
      <c r="M15" s="53"/>
    </row>
    <row r="16" spans="2:13" ht="12">
      <c r="B16" s="45">
        <v>-64.6</v>
      </c>
      <c r="C16" s="45">
        <v>-20.5</v>
      </c>
      <c r="E16" s="46">
        <f t="shared" si="0"/>
        <v>67.7747002944314</v>
      </c>
      <c r="F16" s="46">
        <f t="shared" si="1"/>
        <v>252.33923764246012</v>
      </c>
      <c r="G16" s="46">
        <f t="shared" si="2"/>
        <v>107.66076235753988</v>
      </c>
      <c r="H16" s="46">
        <f t="shared" si="3"/>
        <v>-107.66076235753988</v>
      </c>
      <c r="L16" s="53"/>
      <c r="M16" s="53"/>
    </row>
    <row r="17" spans="1:13" ht="12">
      <c r="A17" s="45" t="s">
        <v>71</v>
      </c>
      <c r="B17" s="45">
        <v>-95.6</v>
      </c>
      <c r="C17" s="45">
        <v>-10</v>
      </c>
      <c r="E17" s="46">
        <f t="shared" si="0"/>
        <v>96.12158966642197</v>
      </c>
      <c r="F17" s="46">
        <f t="shared" si="1"/>
        <v>263.979755930565</v>
      </c>
      <c r="G17" s="46">
        <f t="shared" si="2"/>
        <v>96.02024406943502</v>
      </c>
      <c r="H17" s="46">
        <f t="shared" si="3"/>
        <v>-96.02024406943502</v>
      </c>
      <c r="I17" s="53">
        <f>AVERAGE(E17:E20)</f>
        <v>88.63483536873036</v>
      </c>
      <c r="J17" s="53">
        <f>AVERAGE(F17:F20)</f>
        <v>267.9105704465917</v>
      </c>
      <c r="K17" s="53">
        <f>AVERAGE(G17:G20)</f>
        <v>92.08942955340828</v>
      </c>
      <c r="L17" s="53">
        <f>I17*COS((90-K17)*3.14159/180)</f>
        <v>88.57590545783498</v>
      </c>
      <c r="M17" s="53">
        <f>I17*SIN((90-K17)*3.14159/180)</f>
        <v>-3.231565126469554</v>
      </c>
    </row>
    <row r="18" spans="2:13" ht="12">
      <c r="B18" s="45">
        <v>-79.1</v>
      </c>
      <c r="C18" s="45">
        <v>-1.1</v>
      </c>
      <c r="E18" s="46">
        <f t="shared" si="0"/>
        <v>79.10764817639316</v>
      </c>
      <c r="F18" s="46">
        <f t="shared" si="1"/>
        <v>269.15721718580096</v>
      </c>
      <c r="G18" s="46">
        <f t="shared" si="2"/>
        <v>90.84278281419904</v>
      </c>
      <c r="H18" s="46">
        <f t="shared" si="3"/>
        <v>-90.84278281419903</v>
      </c>
      <c r="L18" s="53"/>
      <c r="M18" s="53"/>
    </row>
    <row r="19" spans="2:13" ht="12">
      <c r="B19" s="45">
        <v>-100.6</v>
      </c>
      <c r="C19" s="45">
        <v>-5.8</v>
      </c>
      <c r="E19" s="46">
        <f t="shared" si="0"/>
        <v>100.76705810928489</v>
      </c>
      <c r="F19" s="46">
        <f t="shared" si="1"/>
        <v>266.65299465060076</v>
      </c>
      <c r="G19" s="46">
        <f t="shared" si="2"/>
        <v>93.34700534939924</v>
      </c>
      <c r="H19" s="46">
        <f t="shared" si="3"/>
        <v>-93.34700534939925</v>
      </c>
      <c r="L19" s="53"/>
      <c r="M19" s="53"/>
    </row>
    <row r="20" spans="2:13" ht="12">
      <c r="B20" s="45">
        <v>-78.5</v>
      </c>
      <c r="C20" s="45">
        <v>2.6</v>
      </c>
      <c r="E20" s="46">
        <f t="shared" si="0"/>
        <v>78.54304552282143</v>
      </c>
      <c r="F20" s="46">
        <f t="shared" si="1"/>
        <v>271.8523140194002</v>
      </c>
      <c r="G20" s="46">
        <f t="shared" si="2"/>
        <v>88.14768598059982</v>
      </c>
      <c r="H20" s="46">
        <f t="shared" si="3"/>
        <v>-88.14768598059985</v>
      </c>
      <c r="L20" s="53"/>
      <c r="M20" s="53"/>
    </row>
    <row r="21" spans="1:13" ht="12">
      <c r="A21" s="45" t="s">
        <v>72</v>
      </c>
      <c r="B21" s="45">
        <v>-124.1</v>
      </c>
      <c r="C21" s="45">
        <v>17.3</v>
      </c>
      <c r="E21" s="46">
        <f t="shared" si="0"/>
        <v>125.3000399042235</v>
      </c>
      <c r="F21" s="46">
        <f t="shared" si="1"/>
        <v>277.894475325557</v>
      </c>
      <c r="G21" s="46">
        <f t="shared" si="2"/>
        <v>82.10552467444302</v>
      </c>
      <c r="H21" s="46">
        <f t="shared" si="3"/>
        <v>-82.105524674443</v>
      </c>
      <c r="I21" s="53">
        <f>AVERAGE(E21:E25)</f>
        <v>134.65715854306717</v>
      </c>
      <c r="J21" s="53">
        <f>AVERAGE(F21:F25)</f>
        <v>280.23702216815417</v>
      </c>
      <c r="K21" s="53">
        <f>AVERAGE(G21:G25)</f>
        <v>79.76297783184579</v>
      </c>
      <c r="L21" s="53">
        <f>I21*COS((90-K21)*3.14159/180)</f>
        <v>132.51355184027187</v>
      </c>
      <c r="M21" s="53">
        <f>I21*SIN((90-K21)*3.14159/180)</f>
        <v>23.931337730438408</v>
      </c>
    </row>
    <row r="22" spans="2:13" ht="12">
      <c r="B22" s="45">
        <v>-150.3</v>
      </c>
      <c r="C22" s="45">
        <v>22.3</v>
      </c>
      <c r="E22" s="46">
        <f t="shared" si="0"/>
        <v>151.94531911184367</v>
      </c>
      <c r="F22" s="46">
        <f t="shared" si="1"/>
        <v>278.3980339822739</v>
      </c>
      <c r="G22" s="46">
        <f t="shared" si="2"/>
        <v>81.60196601772611</v>
      </c>
      <c r="H22" s="46">
        <f t="shared" si="3"/>
        <v>-81.60196601772608</v>
      </c>
      <c r="L22" s="53"/>
      <c r="M22" s="53"/>
    </row>
    <row r="23" spans="2:13" ht="12">
      <c r="B23" s="45">
        <v>-132.1</v>
      </c>
      <c r="C23" s="45">
        <v>23.1</v>
      </c>
      <c r="E23" s="46">
        <f t="shared" si="0"/>
        <v>134.10451148264923</v>
      </c>
      <c r="F23" s="46">
        <f t="shared" si="1"/>
        <v>279.87826229844734</v>
      </c>
      <c r="G23" s="46">
        <f t="shared" si="2"/>
        <v>80.12173770155266</v>
      </c>
      <c r="H23" s="46">
        <f t="shared" si="3"/>
        <v>-80.12173770155266</v>
      </c>
      <c r="L23" s="53"/>
      <c r="M23" s="53"/>
    </row>
    <row r="24" spans="2:13" ht="12">
      <c r="B24" s="45">
        <v>-158.3</v>
      </c>
      <c r="C24" s="45">
        <v>28.3</v>
      </c>
      <c r="E24" s="46">
        <f t="shared" si="0"/>
        <v>160.80976338518755</v>
      </c>
      <c r="F24" s="46">
        <f t="shared" si="1"/>
        <v>280.0954374589241</v>
      </c>
      <c r="G24" s="46">
        <f t="shared" si="2"/>
        <v>79.9045625410759</v>
      </c>
      <c r="H24" s="46">
        <f t="shared" si="3"/>
        <v>-79.90456254107592</v>
      </c>
      <c r="L24" s="53"/>
      <c r="M24" s="53"/>
    </row>
    <row r="25" spans="2:13" ht="12">
      <c r="B25" s="45">
        <v>-97.7</v>
      </c>
      <c r="C25" s="45">
        <v>26.1</v>
      </c>
      <c r="E25" s="46">
        <f t="shared" si="0"/>
        <v>101.12615883143194</v>
      </c>
      <c r="F25" s="46">
        <f t="shared" si="1"/>
        <v>284.91890177556877</v>
      </c>
      <c r="G25" s="46">
        <f t="shared" si="2"/>
        <v>75.08109822443123</v>
      </c>
      <c r="H25" s="46">
        <f t="shared" si="3"/>
        <v>-75.08109822443123</v>
      </c>
      <c r="L25" s="53"/>
      <c r="M25" s="53"/>
    </row>
    <row r="26" spans="1:13" ht="12">
      <c r="A26" s="45" t="s">
        <v>73</v>
      </c>
      <c r="B26" s="45">
        <v>-153.4</v>
      </c>
      <c r="C26" s="45">
        <v>83.4</v>
      </c>
      <c r="D26" s="45" t="s">
        <v>74</v>
      </c>
      <c r="E26" s="46">
        <f t="shared" si="0"/>
        <v>174.60561273910986</v>
      </c>
      <c r="F26" s="46">
        <f t="shared" si="1"/>
        <v>298.50071590485254</v>
      </c>
      <c r="G26" s="46">
        <f t="shared" si="2"/>
        <v>61.49928409514746</v>
      </c>
      <c r="H26" s="46">
        <f t="shared" si="3"/>
        <v>-61.49928409514746</v>
      </c>
      <c r="I26" s="53">
        <f>AVERAGE(E26:E29)</f>
        <v>191.79989237077191</v>
      </c>
      <c r="J26" s="53">
        <f>AVERAGE(F26:F29)</f>
        <v>299.7316776807869</v>
      </c>
      <c r="K26" s="53">
        <f>AVERAGE(G26:G29)</f>
        <v>60.26832231921311</v>
      </c>
      <c r="L26" s="53">
        <f>I26*COS((90-K26)*3.14159/180)</f>
        <v>166.5509076381971</v>
      </c>
      <c r="M26" s="53">
        <f>I26*SIN((90-K26)*3.14159/180)</f>
        <v>95.12094342642123</v>
      </c>
    </row>
    <row r="27" spans="2:13" ht="12">
      <c r="B27" s="45">
        <v>-162</v>
      </c>
      <c r="C27" s="45">
        <v>90.3</v>
      </c>
      <c r="E27" s="46">
        <f t="shared" si="0"/>
        <v>185.46722082351909</v>
      </c>
      <c r="F27" s="46">
        <f t="shared" si="1"/>
        <v>299.1047479895398</v>
      </c>
      <c r="G27" s="46">
        <f t="shared" si="2"/>
        <v>60.89525201046018</v>
      </c>
      <c r="H27" s="46">
        <f t="shared" si="3"/>
        <v>-60.895252010460204</v>
      </c>
      <c r="L27" s="53"/>
      <c r="M27" s="53"/>
    </row>
    <row r="28" spans="2:13" ht="12">
      <c r="B28" s="45">
        <v>-175.1</v>
      </c>
      <c r="C28" s="45">
        <v>104.6</v>
      </c>
      <c r="E28" s="46">
        <f t="shared" si="0"/>
        <v>203.96364872202105</v>
      </c>
      <c r="F28" s="46">
        <f t="shared" si="1"/>
        <v>300.8229515072975</v>
      </c>
      <c r="G28" s="46">
        <f t="shared" si="2"/>
        <v>59.17704849270251</v>
      </c>
      <c r="H28" s="46">
        <f t="shared" si="3"/>
        <v>-59.17704849270253</v>
      </c>
      <c r="L28" s="53"/>
      <c r="M28" s="53"/>
    </row>
    <row r="29" spans="2:13" ht="12">
      <c r="B29" s="45">
        <v>-175</v>
      </c>
      <c r="C29" s="45">
        <v>103.2</v>
      </c>
      <c r="E29" s="46">
        <f t="shared" si="0"/>
        <v>203.1630871984377</v>
      </c>
      <c r="F29" s="46">
        <f t="shared" si="1"/>
        <v>300.4982953214577</v>
      </c>
      <c r="G29" s="46">
        <f t="shared" si="2"/>
        <v>59.501704678542296</v>
      </c>
      <c r="H29" s="46">
        <f t="shared" si="3"/>
        <v>-59.501704678542296</v>
      </c>
      <c r="L29" s="53"/>
      <c r="M29" s="53"/>
    </row>
    <row r="30" spans="1:13" ht="12">
      <c r="A30" s="45" t="s">
        <v>75</v>
      </c>
      <c r="B30" s="45">
        <v>-125.7</v>
      </c>
      <c r="C30" s="45">
        <v>115.2</v>
      </c>
      <c r="D30" s="45" t="s">
        <v>68</v>
      </c>
      <c r="E30" s="46">
        <f t="shared" si="0"/>
        <v>170.5037536243704</v>
      </c>
      <c r="F30" s="46">
        <f t="shared" si="1"/>
        <v>312.4801637468603</v>
      </c>
      <c r="G30" s="46">
        <f t="shared" si="2"/>
        <v>47.519836253139715</v>
      </c>
      <c r="H30" s="46">
        <f t="shared" si="3"/>
        <v>-47.51983625313973</v>
      </c>
      <c r="I30" s="53">
        <f>AVERAGE(E30:E33)</f>
        <v>175.28805234483139</v>
      </c>
      <c r="J30" s="53">
        <f>AVERAGE(F30:F33)</f>
        <v>313.9430028878334</v>
      </c>
      <c r="K30" s="53">
        <f>AVERAGE(G30:G33)</f>
        <v>46.0569971121666</v>
      </c>
      <c r="L30" s="53">
        <f>I30*COS((90-K30)*3.14159/180)</f>
        <v>126.21281954859454</v>
      </c>
      <c r="M30" s="53">
        <f>I30*SIN((90-K30)*3.14159/180)</f>
        <v>121.63973642045703</v>
      </c>
    </row>
    <row r="31" spans="2:13" ht="12">
      <c r="B31" s="45">
        <v>-118.4</v>
      </c>
      <c r="C31" s="45">
        <v>113.9</v>
      </c>
      <c r="E31" s="46">
        <f t="shared" si="0"/>
        <v>164.29172225039216</v>
      </c>
      <c r="F31" s="46">
        <f t="shared" si="1"/>
        <v>313.86684592975126</v>
      </c>
      <c r="G31" s="46">
        <f t="shared" si="2"/>
        <v>46.133154070248736</v>
      </c>
      <c r="H31" s="46">
        <f t="shared" si="3"/>
        <v>-46.13315407024873</v>
      </c>
      <c r="L31" s="53"/>
      <c r="M31" s="53"/>
    </row>
    <row r="32" spans="2:13" ht="12">
      <c r="B32" s="45">
        <v>-121</v>
      </c>
      <c r="C32" s="45">
        <v>119.3</v>
      </c>
      <c r="E32" s="46">
        <f t="shared" si="0"/>
        <v>169.92201152293364</v>
      </c>
      <c r="F32" s="46">
        <f t="shared" si="1"/>
        <v>314.5716380866691</v>
      </c>
      <c r="G32" s="46">
        <f t="shared" si="2"/>
        <v>45.42836191333089</v>
      </c>
      <c r="H32" s="46">
        <f t="shared" si="3"/>
        <v>-45.428361913330875</v>
      </c>
      <c r="L32" s="53"/>
      <c r="M32" s="53"/>
    </row>
    <row r="33" spans="2:13" ht="12">
      <c r="B33" s="45">
        <v>-139.2</v>
      </c>
      <c r="C33" s="45">
        <v>138.6</v>
      </c>
      <c r="E33" s="46">
        <f t="shared" si="0"/>
        <v>196.43472198162928</v>
      </c>
      <c r="F33" s="46">
        <f t="shared" si="1"/>
        <v>314.85336378805295</v>
      </c>
      <c r="G33" s="46">
        <f t="shared" si="2"/>
        <v>45.146636211947055</v>
      </c>
      <c r="H33" s="46">
        <f t="shared" si="3"/>
        <v>-45.146636211947076</v>
      </c>
      <c r="L33" s="53"/>
      <c r="M33" s="53"/>
    </row>
    <row r="34" spans="1:13" ht="12">
      <c r="A34" s="45" t="s">
        <v>76</v>
      </c>
      <c r="B34" s="45">
        <v>-160.3</v>
      </c>
      <c r="C34" s="45">
        <v>204.6</v>
      </c>
      <c r="D34" s="45" t="s">
        <v>68</v>
      </c>
      <c r="E34" s="46">
        <f t="shared" si="0"/>
        <v>259.91777545985576</v>
      </c>
      <c r="F34" s="46">
        <f t="shared" si="1"/>
        <v>321.9026983660754</v>
      </c>
      <c r="G34" s="46">
        <f t="shared" si="2"/>
        <v>38.09730163392459</v>
      </c>
      <c r="H34" s="46">
        <f t="shared" si="3"/>
        <v>-38.097301633924566</v>
      </c>
      <c r="I34" s="53">
        <f>AVERAGE(E34:E37)</f>
        <v>384.4891634506928</v>
      </c>
      <c r="J34" s="53">
        <f>AVERAGE(F34:F37)</f>
        <v>322.1843103955017</v>
      </c>
      <c r="K34" s="53">
        <f>AVERAGE(G34:G37)</f>
        <v>37.81568960449829</v>
      </c>
      <c r="L34" s="53">
        <f>I34*COS((90-K34)*3.14159/180)</f>
        <v>235.73953797172925</v>
      </c>
      <c r="M34" s="53">
        <f>I34*SIN((90-K34)*3.14159/180)</f>
        <v>303.74131600407804</v>
      </c>
    </row>
    <row r="35" spans="2:13" ht="12">
      <c r="B35" s="45">
        <v>-236.4</v>
      </c>
      <c r="C35" s="45">
        <v>299.9</v>
      </c>
      <c r="E35" s="46">
        <f t="shared" si="0"/>
        <v>381.8703575822559</v>
      </c>
      <c r="F35" s="46">
        <f t="shared" si="1"/>
        <v>321.73320399781306</v>
      </c>
      <c r="G35" s="46">
        <f t="shared" si="2"/>
        <v>38.266796002186936</v>
      </c>
      <c r="H35" s="46">
        <f t="shared" si="3"/>
        <v>-38.26679600218692</v>
      </c>
      <c r="L35" s="53"/>
      <c r="M35" s="53"/>
    </row>
    <row r="36" spans="2:13" ht="12">
      <c r="B36" s="45">
        <v>-211.9</v>
      </c>
      <c r="C36" s="45">
        <v>278</v>
      </c>
      <c r="E36" s="46">
        <f t="shared" si="0"/>
        <v>349.5505828918041</v>
      </c>
      <c r="F36" s="46">
        <f t="shared" si="1"/>
        <v>322.6653282256611</v>
      </c>
      <c r="G36" s="46">
        <f t="shared" si="2"/>
        <v>37.334671774338915</v>
      </c>
      <c r="H36" s="46">
        <f t="shared" si="3"/>
        <v>-37.334671774338894</v>
      </c>
      <c r="L36" s="53"/>
      <c r="M36" s="53"/>
    </row>
    <row r="37" spans="2:13" ht="12">
      <c r="B37" s="45">
        <v>-333.1</v>
      </c>
      <c r="C37" s="45">
        <v>433.4</v>
      </c>
      <c r="E37" s="46">
        <f t="shared" si="0"/>
        <v>546.6179378688555</v>
      </c>
      <c r="F37" s="46">
        <f t="shared" si="1"/>
        <v>322.4360109924573</v>
      </c>
      <c r="G37" s="46">
        <f t="shared" si="2"/>
        <v>37.563989007542716</v>
      </c>
      <c r="H37" s="46">
        <f t="shared" si="3"/>
        <v>-37.563989007542695</v>
      </c>
      <c r="L37" s="53"/>
      <c r="M37" s="53"/>
    </row>
    <row r="38" spans="1:13" ht="12">
      <c r="A38" s="45" t="s">
        <v>77</v>
      </c>
      <c r="B38" s="47">
        <v>-200000000</v>
      </c>
      <c r="C38" s="47">
        <v>300000000</v>
      </c>
      <c r="D38" s="45" t="s">
        <v>78</v>
      </c>
      <c r="E38" s="48">
        <f t="shared" si="0"/>
        <v>360555127.54639894</v>
      </c>
      <c r="F38" s="46">
        <f t="shared" si="1"/>
        <v>326.2928443826235</v>
      </c>
      <c r="G38" s="46">
        <f t="shared" si="2"/>
        <v>33.707155617376486</v>
      </c>
      <c r="H38" s="46">
        <f t="shared" si="3"/>
        <v>-33.70715561737648</v>
      </c>
      <c r="I38" s="53">
        <f>AVERAGE(E38:E40)</f>
        <v>428284340.57158995</v>
      </c>
      <c r="J38" s="53">
        <f>AVERAGE(F38:F40)</f>
        <v>325.20756081205997</v>
      </c>
      <c r="K38" s="53">
        <f>AVERAGE(G38:G40)</f>
        <v>34.79243918794001</v>
      </c>
      <c r="L38" s="53">
        <f>I38*COS((90-K38)*3.14159/180)</f>
        <v>244381559.34555382</v>
      </c>
      <c r="M38" s="53">
        <f>I38*SIN((90-K38)*3.14159/180)</f>
        <v>351717400.52302957</v>
      </c>
    </row>
    <row r="39" spans="2:13" ht="12">
      <c r="B39" s="47">
        <v>-150000000</v>
      </c>
      <c r="C39" s="47">
        <v>220000000</v>
      </c>
      <c r="E39" s="48">
        <f t="shared" si="0"/>
        <v>266270539.11388695</v>
      </c>
      <c r="F39" s="46">
        <f t="shared" si="1"/>
        <v>325.6957322209756</v>
      </c>
      <c r="G39" s="46">
        <f t="shared" si="2"/>
        <v>34.30426777902443</v>
      </c>
      <c r="H39" s="46">
        <f t="shared" si="3"/>
        <v>-34.30426777902442</v>
      </c>
      <c r="L39" s="53"/>
      <c r="M39" s="53"/>
    </row>
    <row r="40" spans="2:13" ht="12">
      <c r="B40" s="47">
        <v>-390000000</v>
      </c>
      <c r="C40" s="47">
        <v>530000000</v>
      </c>
      <c r="E40" s="48">
        <f t="shared" si="0"/>
        <v>658027355.054484</v>
      </c>
      <c r="F40" s="46">
        <f t="shared" si="1"/>
        <v>323.6341058325809</v>
      </c>
      <c r="G40" s="46">
        <f t="shared" si="2"/>
        <v>36.36589416741913</v>
      </c>
      <c r="H40" s="46">
        <f t="shared" si="3"/>
        <v>-36.36589416741911</v>
      </c>
      <c r="L40" s="53"/>
      <c r="M40" s="53"/>
    </row>
    <row r="41" spans="1:13" ht="12">
      <c r="A41" s="45" t="s">
        <v>79</v>
      </c>
      <c r="B41" s="47">
        <v>-350000000</v>
      </c>
      <c r="C41" s="47">
        <v>380000000</v>
      </c>
      <c r="D41" s="45" t="s">
        <v>78</v>
      </c>
      <c r="E41" s="48">
        <f t="shared" si="0"/>
        <v>516623654.1235796</v>
      </c>
      <c r="F41" s="46">
        <f t="shared" si="1"/>
        <v>317.3316658390895</v>
      </c>
      <c r="G41" s="46">
        <f t="shared" si="2"/>
        <v>42.66833416091049</v>
      </c>
      <c r="H41" s="46">
        <f t="shared" si="3"/>
        <v>-42.66833416091049</v>
      </c>
      <c r="I41" s="53">
        <f>AVERAGE(E41:E42)</f>
        <v>591853428.6649482</v>
      </c>
      <c r="J41" s="53">
        <f>AVERAGE(F41:F42)</f>
        <v>318.58791148792204</v>
      </c>
      <c r="K41" s="53">
        <f>AVERAGE(G41:G42)</f>
        <v>41.41208851207796</v>
      </c>
      <c r="L41" s="53">
        <f>I41*COS((90-K41)*3.14159/180)</f>
        <v>391493671.86085886</v>
      </c>
      <c r="M41" s="53">
        <f>I41*SIN((90-K41)*3.14159/180)</f>
        <v>443872938.9311282</v>
      </c>
    </row>
    <row r="42" spans="2:13" ht="12">
      <c r="B42" s="47">
        <v>-430000000</v>
      </c>
      <c r="C42" s="47">
        <v>510000000</v>
      </c>
      <c r="E42" s="48">
        <f t="shared" si="0"/>
        <v>667083203.2063167</v>
      </c>
      <c r="F42" s="46">
        <f t="shared" si="1"/>
        <v>319.8441571367546</v>
      </c>
      <c r="G42" s="46">
        <f t="shared" si="2"/>
        <v>40.155842863245425</v>
      </c>
      <c r="H42" s="46">
        <f t="shared" si="3"/>
        <v>-40.155842863245454</v>
      </c>
      <c r="L42" s="53"/>
      <c r="M42" s="53"/>
    </row>
    <row r="43" spans="2:13" ht="12">
      <c r="B43" s="47">
        <v>-380000000</v>
      </c>
      <c r="C43" s="47">
        <v>420000000</v>
      </c>
      <c r="D43" s="45" t="s">
        <v>80</v>
      </c>
      <c r="E43" s="48">
        <f t="shared" si="0"/>
        <v>566392090.3402518</v>
      </c>
      <c r="F43" s="46">
        <f t="shared" si="1"/>
        <v>317.8410324262449</v>
      </c>
      <c r="G43" s="46">
        <f t="shared" si="2"/>
        <v>42.15896757375509</v>
      </c>
      <c r="H43" s="46">
        <f t="shared" si="3"/>
        <v>-42.1589675737551</v>
      </c>
      <c r="L43" s="53"/>
      <c r="M43" s="53"/>
    </row>
    <row r="44" spans="1:13" s="49" customFormat="1" ht="12">
      <c r="A44" s="49" t="s">
        <v>81</v>
      </c>
      <c r="B44" s="50">
        <v>-340000000</v>
      </c>
      <c r="C44" s="50">
        <v>370000000</v>
      </c>
      <c r="D44" s="49" t="s">
        <v>78</v>
      </c>
      <c r="E44" s="51">
        <f t="shared" si="0"/>
        <v>502493781.0560445</v>
      </c>
      <c r="F44" s="52">
        <f t="shared" si="1"/>
        <v>317.3979117735031</v>
      </c>
      <c r="G44" s="52">
        <f t="shared" si="2"/>
        <v>42.6020882264969</v>
      </c>
      <c r="H44" s="52">
        <f t="shared" si="3"/>
        <v>-42.602088226496925</v>
      </c>
      <c r="I44" s="56">
        <f>AVERAGE(E44)</f>
        <v>502493781.0560445</v>
      </c>
      <c r="J44" s="56">
        <f>AVERAGE(F44)</f>
        <v>317.3979117735031</v>
      </c>
      <c r="K44" s="56">
        <f>AVERAGE(G44)</f>
        <v>42.6020882264969</v>
      </c>
      <c r="L44" s="56">
        <f>I44*COS((90-K44)*3.14159/180)</f>
        <v>340139704.4911032</v>
      </c>
      <c r="M44" s="56">
        <f>I44*SIN((90-K44)*3.14159/180)</f>
        <v>369871574.2372006</v>
      </c>
    </row>
    <row r="45" spans="1:13" ht="12.75">
      <c r="A45" s="45" t="s">
        <v>82</v>
      </c>
      <c r="B45" s="46">
        <v>-14.2</v>
      </c>
      <c r="C45" s="46">
        <v>-34.5</v>
      </c>
      <c r="D45" s="45" t="s">
        <v>66</v>
      </c>
      <c r="E45" s="46">
        <f t="shared" si="0"/>
        <v>37.30804202849568</v>
      </c>
      <c r="F45" s="46">
        <f t="shared" si="1"/>
        <v>202.2918303589353</v>
      </c>
      <c r="G45" s="46">
        <f t="shared" si="2"/>
        <v>157.7081696410647</v>
      </c>
      <c r="H45" s="46">
        <f t="shared" si="3"/>
        <v>-157.7081696410647</v>
      </c>
      <c r="I45" s="53">
        <f>AVERAGE(E45:E47)</f>
        <v>39.85749805564148</v>
      </c>
      <c r="J45" s="53">
        <f>AVERAGE(F45:F47)</f>
        <v>202.13543377937017</v>
      </c>
      <c r="K45" s="53">
        <f>AVERAGE(G45:G47)</f>
        <v>157.8645662206298</v>
      </c>
      <c r="L45" s="53">
        <f>I45*COS((90-J45)*3.14159/180)</f>
        <v>-15.01813223190978</v>
      </c>
      <c r="M45" s="53">
        <f>I45*SIN((90-J45)*3.14159/180)</f>
        <v>-36.919857197994915</v>
      </c>
    </row>
    <row r="46" spans="2:13" ht="12">
      <c r="B46" s="46">
        <v>-14.6</v>
      </c>
      <c r="C46" s="46">
        <v>-35.9</v>
      </c>
      <c r="E46" s="46">
        <f t="shared" si="0"/>
        <v>38.75525770782591</v>
      </c>
      <c r="F46" s="46">
        <f t="shared" si="1"/>
        <v>202.05077619948688</v>
      </c>
      <c r="G46" s="46">
        <f t="shared" si="2"/>
        <v>157.94922380051312</v>
      </c>
      <c r="H46" s="46">
        <f t="shared" si="3"/>
        <v>-157.94922380051312</v>
      </c>
      <c r="L46" s="53"/>
      <c r="M46" s="53"/>
    </row>
    <row r="47" spans="2:13" ht="12">
      <c r="B47" s="46">
        <v>-16.4</v>
      </c>
      <c r="C47" s="46">
        <v>-40.3</v>
      </c>
      <c r="E47" s="46">
        <f t="shared" si="0"/>
        <v>43.509194430602825</v>
      </c>
      <c r="F47" s="46">
        <f t="shared" si="1"/>
        <v>202.06369477968843</v>
      </c>
      <c r="G47" s="46">
        <f t="shared" si="2"/>
        <v>157.93630522031157</v>
      </c>
      <c r="H47" s="46">
        <f t="shared" si="3"/>
        <v>-157.93630522031157</v>
      </c>
      <c r="L47" s="53"/>
      <c r="M47" s="53"/>
    </row>
    <row r="48" spans="1:13" ht="12.75">
      <c r="A48" s="45" t="s">
        <v>83</v>
      </c>
      <c r="B48" s="46">
        <v>-20</v>
      </c>
      <c r="C48" s="46">
        <v>-41.2</v>
      </c>
      <c r="D48" s="45" t="s">
        <v>84</v>
      </c>
      <c r="E48" s="46">
        <f t="shared" si="0"/>
        <v>45.79781654183964</v>
      </c>
      <c r="F48" s="46">
        <f t="shared" si="1"/>
        <v>205.8154820145068</v>
      </c>
      <c r="G48" s="46">
        <f t="shared" si="2"/>
        <v>154.1845179854932</v>
      </c>
      <c r="H48" s="46">
        <f t="shared" si="3"/>
        <v>-154.1845179854932</v>
      </c>
      <c r="I48" s="53">
        <f>AVERAGE(E48:E51)</f>
        <v>53.20227756507242</v>
      </c>
      <c r="J48" s="53">
        <f>AVERAGE(F48:F51)</f>
        <v>205.6926891204366</v>
      </c>
      <c r="K48" s="53">
        <f>AVERAGE(G48:G51)</f>
        <v>154.3073108795634</v>
      </c>
      <c r="L48" s="53">
        <f>I48*COS((90-J48)*3.14159/180)</f>
        <v>-23.06545202126942</v>
      </c>
      <c r="M48" s="53">
        <f>I48*SIN((90-J48)*3.14159/180)</f>
        <v>-47.94233266295589</v>
      </c>
    </row>
    <row r="49" spans="2:13" ht="12">
      <c r="B49" s="46">
        <v>-20.3</v>
      </c>
      <c r="C49" s="46">
        <v>-41.3</v>
      </c>
      <c r="E49" s="46">
        <f t="shared" si="0"/>
        <v>46.01934375890208</v>
      </c>
      <c r="F49" s="46">
        <f t="shared" si="1"/>
        <v>206.0972678554512</v>
      </c>
      <c r="G49" s="46">
        <f t="shared" si="2"/>
        <v>153.9027321445488</v>
      </c>
      <c r="H49" s="46">
        <f t="shared" si="3"/>
        <v>-153.9027321445488</v>
      </c>
      <c r="L49" s="53"/>
      <c r="M49" s="53"/>
    </row>
    <row r="50" spans="2:13" ht="12">
      <c r="B50" s="46">
        <v>-24.5</v>
      </c>
      <c r="C50" s="46">
        <v>-51.3</v>
      </c>
      <c r="E50" s="46">
        <f t="shared" si="0"/>
        <v>56.85015391359991</v>
      </c>
      <c r="F50" s="46">
        <f t="shared" si="1"/>
        <v>205.4499903560396</v>
      </c>
      <c r="G50" s="46">
        <f t="shared" si="2"/>
        <v>154.5500096439604</v>
      </c>
      <c r="H50" s="46">
        <f t="shared" si="3"/>
        <v>-154.5500096439604</v>
      </c>
      <c r="L50" s="53"/>
      <c r="M50" s="53"/>
    </row>
    <row r="51" spans="2:13" ht="12">
      <c r="B51" s="46">
        <v>-27.6</v>
      </c>
      <c r="C51" s="46">
        <v>-57.9</v>
      </c>
      <c r="E51" s="46">
        <f t="shared" si="0"/>
        <v>64.14179604594807</v>
      </c>
      <c r="F51" s="46">
        <f t="shared" si="1"/>
        <v>205.40801625574875</v>
      </c>
      <c r="G51" s="46">
        <f t="shared" si="2"/>
        <v>154.59198374425125</v>
      </c>
      <c r="H51" s="46">
        <f t="shared" si="3"/>
        <v>-154.59198374425125</v>
      </c>
      <c r="L51" s="53"/>
      <c r="M51" s="53"/>
    </row>
    <row r="52" spans="1:13" ht="12">
      <c r="A52" s="45" t="s">
        <v>85</v>
      </c>
      <c r="B52" s="46">
        <v>-39.4</v>
      </c>
      <c r="C52" s="46">
        <v>-70.32</v>
      </c>
      <c r="D52" s="45" t="s">
        <v>66</v>
      </c>
      <c r="E52" s="46">
        <f t="shared" si="0"/>
        <v>80.60559782049879</v>
      </c>
      <c r="F52" s="46">
        <f t="shared" si="1"/>
        <v>209.18526968033981</v>
      </c>
      <c r="G52" s="46">
        <f t="shared" si="2"/>
        <v>150.81473031966019</v>
      </c>
      <c r="H52" s="46">
        <f t="shared" si="3"/>
        <v>-150.81473031966019</v>
      </c>
      <c r="I52" s="53">
        <f>AVERAGE(E52:E55)</f>
        <v>74.39119188797201</v>
      </c>
      <c r="J52" s="53">
        <f>AVERAGE(F52:F55)</f>
        <v>210.09320736068696</v>
      </c>
      <c r="K52" s="53">
        <f>AVERAGE(G52:G55)</f>
        <v>149.90679263931304</v>
      </c>
      <c r="L52" s="53">
        <f>I52*COS((90-J52)*3.14159/180)</f>
        <v>-37.30023717905052</v>
      </c>
      <c r="M52" s="53">
        <f>I52*SIN((90-J52)*3.14159/180)</f>
        <v>-64.36413393264645</v>
      </c>
    </row>
    <row r="53" spans="2:8" ht="12">
      <c r="B53" s="46">
        <v>-37</v>
      </c>
      <c r="C53" s="46">
        <v>-64.3</v>
      </c>
      <c r="E53" s="46">
        <f t="shared" si="0"/>
        <v>74.18551071469415</v>
      </c>
      <c r="F53" s="46">
        <f t="shared" si="1"/>
        <v>209.84119003660328</v>
      </c>
      <c r="G53" s="46">
        <f t="shared" si="2"/>
        <v>150.15880996339672</v>
      </c>
      <c r="H53" s="46">
        <f t="shared" si="3"/>
        <v>-150.15880996339672</v>
      </c>
    </row>
    <row r="54" spans="2:8" ht="12">
      <c r="B54" s="46">
        <v>-35.6</v>
      </c>
      <c r="C54" s="46">
        <v>-60</v>
      </c>
      <c r="E54" s="46">
        <f t="shared" si="0"/>
        <v>69.76646759009661</v>
      </c>
      <c r="F54" s="46">
        <f t="shared" si="1"/>
        <v>210.60633241413132</v>
      </c>
      <c r="G54" s="46">
        <f t="shared" si="2"/>
        <v>149.39366758586868</v>
      </c>
      <c r="H54" s="46">
        <f t="shared" si="3"/>
        <v>-149.39366758586868</v>
      </c>
    </row>
    <row r="55" spans="2:8" ht="12">
      <c r="B55" s="46">
        <v>-37.4</v>
      </c>
      <c r="C55" s="46">
        <v>-62.7</v>
      </c>
      <c r="E55" s="46">
        <f t="shared" si="0"/>
        <v>73.00719142659852</v>
      </c>
      <c r="F55" s="46">
        <f t="shared" si="1"/>
        <v>210.74003731167338</v>
      </c>
      <c r="G55" s="46">
        <f t="shared" si="2"/>
        <v>149.25996268832662</v>
      </c>
      <c r="H55" s="46">
        <f t="shared" si="3"/>
        <v>-149.25996268832662</v>
      </c>
    </row>
    <row r="56" spans="2:3" ht="12">
      <c r="B56" s="46"/>
      <c r="C56" s="46"/>
    </row>
    <row r="57" spans="2:3" ht="12">
      <c r="B57" s="46"/>
      <c r="C57" s="46"/>
    </row>
    <row r="58" spans="2:3" ht="12">
      <c r="B58" s="46"/>
      <c r="C58" s="46"/>
    </row>
    <row r="59" spans="2:3" ht="12.75">
      <c r="B59" s="46"/>
      <c r="C59" s="46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printOptions/>
  <pageMargins left="0.75" right="0.75" top="1" bottom="1" header="0.5" footer="0.5"/>
  <pageSetup orientation="portrait" paperSize="9"/>
  <legacyDrawing r:id="rId2"/>
  <oleObjects>
    <oleObject progId="Photoshop.Image.4" shapeId="13457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">
      <selection activeCell="L22" sqref="L2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2007-05-19T22:18:19Z</dcterms:created>
  <cp:category/>
  <cp:version/>
  <cp:contentType/>
  <cp:contentStatus/>
</cp:coreProperties>
</file>